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egevensinwinning\UPA\Rekenvoorbeelden\Slagers\2020\"/>
    </mc:Choice>
  </mc:AlternateContent>
  <xr:revisionPtr revIDLastSave="0" documentId="13_ncr:1_{FDAA52EB-339C-4991-B750-68389084F684}" xr6:coauthVersionLast="46" xr6:coauthVersionMax="46" xr10:uidLastSave="{00000000-0000-0000-0000-000000000000}"/>
  <bookViews>
    <workbookView xWindow="-120" yWindow="-120" windowWidth="29040" windowHeight="15840" tabRatio="599" xr2:uid="{00000000-000D-0000-FFFF-FFFF00000000}"/>
  </bookViews>
  <sheets>
    <sheet name="Maand" sheetId="1" r:id="rId1"/>
    <sheet name="Parameters" sheetId="2" r:id="rId2"/>
  </sheets>
  <definedNames>
    <definedName name="Aantal_SV_dagen_in_het_jaar">Parameters!$B$2</definedName>
    <definedName name="Aantal_weken_in_het_jaar">Parameters!#REF!</definedName>
    <definedName name="Franchise_OP_NP">Parameters!$B$6</definedName>
    <definedName name="Franchise_OP_NP_per_uur">Parameters!$B$7</definedName>
    <definedName name="Jaar_van_berekening">Parameters!$B$1</definedName>
    <definedName name="Max_pensioengev_salaris_per_jaar_OP_NP">Parameters!$B$8</definedName>
    <definedName name="Max_pensioengev_salaris_per_jaar_VPL">Parameters!$B$10</definedName>
    <definedName name="Max_pensioengev_salaris_per_uur_OP_NP">Parameters!$B$9</definedName>
    <definedName name="Max_pensioengev_salaris_per_uur_VPL">Parameters!$B$11</definedName>
    <definedName name="Max_premie_OP_NP">Parameters!#REF!</definedName>
    <definedName name="Max_premie_VOS">Parameters!#REF!</definedName>
    <definedName name="Max_premie_VPL">Parameters!#REF!</definedName>
    <definedName name="Max_uren_per_gewerkte_dag">Parameters!$B$4</definedName>
    <definedName name="Max_uren_per_sv_dag">Parameters!$B$5</definedName>
    <definedName name="Normuren_per_jaar">Parameters!$B$3</definedName>
    <definedName name="Normuren_per_week">Parameters!#REF!</definedName>
    <definedName name="Premie___OP_NP">Parameters!$B$14</definedName>
    <definedName name="Premie___VPL">Parameters!$B$15</definedName>
    <definedName name="Premie__VOS">Parameters!$B$16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7" i="1" l="1"/>
  <c r="R58" i="1"/>
  <c r="Q57" i="1"/>
  <c r="Q58" i="1"/>
  <c r="P57" i="1"/>
  <c r="P58" i="1"/>
  <c r="O57" i="1"/>
  <c r="O58" i="1"/>
  <c r="X44" i="1"/>
  <c r="X45" i="1"/>
  <c r="X46" i="1"/>
  <c r="W44" i="1"/>
  <c r="W45" i="1"/>
  <c r="W46" i="1"/>
  <c r="V44" i="1"/>
  <c r="V45" i="1"/>
  <c r="V46" i="1"/>
  <c r="T44" i="1"/>
  <c r="T45" i="1"/>
  <c r="T46" i="1"/>
  <c r="S43" i="1"/>
  <c r="S44" i="1"/>
  <c r="S45" i="1"/>
  <c r="S46" i="1"/>
  <c r="R43" i="1"/>
  <c r="R44" i="1"/>
  <c r="R45" i="1"/>
  <c r="R46" i="1"/>
  <c r="Q43" i="1"/>
  <c r="Q44" i="1"/>
  <c r="Q45" i="1"/>
  <c r="Q46" i="1"/>
  <c r="U44" i="1"/>
  <c r="U45" i="1"/>
  <c r="U46" i="1"/>
  <c r="X14" i="1"/>
  <c r="X12" i="1"/>
  <c r="X13" i="1"/>
  <c r="W12" i="1"/>
  <c r="W13" i="1"/>
  <c r="W14" i="1"/>
  <c r="V12" i="1"/>
  <c r="V13" i="1"/>
  <c r="V14" i="1"/>
  <c r="U12" i="1"/>
  <c r="U13" i="1"/>
  <c r="U14" i="1"/>
  <c r="T12" i="1"/>
  <c r="T13" i="1"/>
  <c r="T14" i="1"/>
  <c r="S12" i="1"/>
  <c r="S13" i="1"/>
  <c r="S14" i="1"/>
  <c r="R12" i="1"/>
  <c r="R13" i="1"/>
  <c r="R14" i="1"/>
  <c r="Q12" i="1"/>
  <c r="Q13" i="1"/>
  <c r="Q14" i="1"/>
  <c r="G3" i="1"/>
  <c r="F3" i="1"/>
  <c r="B3" i="2"/>
  <c r="E54" i="1" l="1"/>
  <c r="E55" i="1"/>
  <c r="E56" i="1"/>
  <c r="E57" i="1"/>
  <c r="E58" i="1"/>
  <c r="E53" i="1"/>
  <c r="F58" i="1"/>
  <c r="F57" i="1"/>
  <c r="F56" i="1"/>
  <c r="F55" i="1"/>
  <c r="F54" i="1"/>
  <c r="F53" i="1"/>
  <c r="C53" i="1"/>
  <c r="C54" i="1" s="1"/>
  <c r="C55" i="1" s="1"/>
  <c r="C56" i="1" s="1"/>
  <c r="C57" i="1" s="1"/>
  <c r="C58" i="1" s="1"/>
  <c r="E20" i="1"/>
  <c r="E21" i="1"/>
  <c r="E22" i="1"/>
  <c r="E23" i="1"/>
  <c r="E24" i="1"/>
  <c r="E25" i="1"/>
  <c r="E26" i="1"/>
  <c r="E27" i="1"/>
  <c r="E28" i="1"/>
  <c r="E29" i="1"/>
  <c r="E30" i="1"/>
  <c r="E19" i="1"/>
  <c r="F30" i="1"/>
  <c r="F29" i="1"/>
  <c r="F28" i="1"/>
  <c r="F27" i="1"/>
  <c r="F26" i="1"/>
  <c r="F25" i="1"/>
  <c r="F24" i="1"/>
  <c r="F23" i="1"/>
  <c r="F22" i="1"/>
  <c r="F21" i="1"/>
  <c r="F20" i="1"/>
  <c r="F19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E36" i="1"/>
  <c r="E37" i="1"/>
  <c r="E38" i="1"/>
  <c r="E39" i="1"/>
  <c r="E40" i="1"/>
  <c r="E41" i="1"/>
  <c r="E42" i="1"/>
  <c r="E43" i="1"/>
  <c r="E44" i="1"/>
  <c r="E45" i="1"/>
  <c r="E46" i="1"/>
  <c r="E35" i="1"/>
  <c r="F46" i="1"/>
  <c r="F45" i="1"/>
  <c r="F44" i="1"/>
  <c r="F43" i="1"/>
  <c r="F42" i="1"/>
  <c r="F41" i="1"/>
  <c r="F40" i="1"/>
  <c r="F39" i="1"/>
  <c r="F38" i="1"/>
  <c r="F37" i="1"/>
  <c r="F36" i="1"/>
  <c r="F35" i="1"/>
  <c r="C35" i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B13" i="2"/>
  <c r="G54" i="1" l="1"/>
  <c r="H54" i="1" s="1"/>
  <c r="I54" i="1" s="1"/>
  <c r="G21" i="1"/>
  <c r="G20" i="1"/>
  <c r="G19" i="1"/>
  <c r="G27" i="1"/>
  <c r="G23" i="1"/>
  <c r="G36" i="1"/>
  <c r="H36" i="1" s="1"/>
  <c r="G30" i="1"/>
  <c r="G26" i="1"/>
  <c r="G22" i="1"/>
  <c r="G57" i="1"/>
  <c r="H57" i="1" s="1"/>
  <c r="I57" i="1" s="1"/>
  <c r="G29" i="1"/>
  <c r="G25" i="1"/>
  <c r="G56" i="1"/>
  <c r="H56" i="1" s="1"/>
  <c r="I56" i="1" s="1"/>
  <c r="G28" i="1"/>
  <c r="G24" i="1"/>
  <c r="G53" i="1"/>
  <c r="H53" i="1" s="1"/>
  <c r="I53" i="1" s="1"/>
  <c r="G55" i="1"/>
  <c r="H55" i="1" s="1"/>
  <c r="I55" i="1" s="1"/>
  <c r="G58" i="1"/>
  <c r="H58" i="1" s="1"/>
  <c r="I58" i="1" s="1"/>
  <c r="G41" i="1"/>
  <c r="H41" i="1" s="1"/>
  <c r="G46" i="1"/>
  <c r="H46" i="1" s="1"/>
  <c r="I46" i="1" s="1"/>
  <c r="G42" i="1"/>
  <c r="H42" i="1" s="1"/>
  <c r="I42" i="1" s="1"/>
  <c r="G38" i="1"/>
  <c r="H38" i="1" s="1"/>
  <c r="I38" i="1" s="1"/>
  <c r="G45" i="1"/>
  <c r="H45" i="1" s="1"/>
  <c r="I45" i="1" s="1"/>
  <c r="G37" i="1"/>
  <c r="H37" i="1" s="1"/>
  <c r="G44" i="1"/>
  <c r="H44" i="1" s="1"/>
  <c r="I44" i="1" s="1"/>
  <c r="G40" i="1"/>
  <c r="H40" i="1" s="1"/>
  <c r="I40" i="1" s="1"/>
  <c r="G35" i="1"/>
  <c r="H35" i="1" s="1"/>
  <c r="G43" i="1"/>
  <c r="H43" i="1" s="1"/>
  <c r="I43" i="1" s="1"/>
  <c r="G39" i="1"/>
  <c r="H39" i="1" s="1"/>
  <c r="F4" i="1"/>
  <c r="F5" i="1"/>
  <c r="F6" i="1"/>
  <c r="F7" i="1"/>
  <c r="F8" i="1"/>
  <c r="F9" i="1"/>
  <c r="F10" i="1"/>
  <c r="F11" i="1"/>
  <c r="F12" i="1"/>
  <c r="F13" i="1"/>
  <c r="F14" i="1"/>
  <c r="B11" i="2"/>
  <c r="B9" i="2"/>
  <c r="B7" i="2"/>
  <c r="H30" i="1" l="1"/>
  <c r="I30" i="1" s="1"/>
  <c r="N30" i="1" s="1"/>
  <c r="O30" i="1" s="1"/>
  <c r="I35" i="1"/>
  <c r="J35" i="1" s="1"/>
  <c r="K35" i="1" s="1"/>
  <c r="W35" i="1" s="1"/>
  <c r="X35" i="1" s="1"/>
  <c r="I41" i="1"/>
  <c r="P41" i="1" s="1"/>
  <c r="I39" i="1"/>
  <c r="P39" i="1" s="1"/>
  <c r="I36" i="1"/>
  <c r="P36" i="1" s="1"/>
  <c r="I37" i="1"/>
  <c r="P37" i="1" s="1"/>
  <c r="H27" i="1"/>
  <c r="I27" i="1" s="1"/>
  <c r="P27" i="1" s="1"/>
  <c r="N46" i="1"/>
  <c r="O46" i="1" s="1"/>
  <c r="P40" i="1"/>
  <c r="L38" i="1"/>
  <c r="M38" i="1" s="1"/>
  <c r="P56" i="1"/>
  <c r="L56" i="1"/>
  <c r="M56" i="1" s="1"/>
  <c r="N56" i="1"/>
  <c r="O56" i="1" s="1"/>
  <c r="J56" i="1"/>
  <c r="K56" i="1" s="1"/>
  <c r="P55" i="1"/>
  <c r="L55" i="1"/>
  <c r="M55" i="1" s="1"/>
  <c r="N55" i="1"/>
  <c r="O55" i="1" s="1"/>
  <c r="J55" i="1"/>
  <c r="K55" i="1" s="1"/>
  <c r="L58" i="1"/>
  <c r="M58" i="1" s="1"/>
  <c r="N58" i="1"/>
  <c r="J58" i="1"/>
  <c r="K58" i="1" s="1"/>
  <c r="P54" i="1"/>
  <c r="L54" i="1"/>
  <c r="M54" i="1" s="1"/>
  <c r="N54" i="1"/>
  <c r="O54" i="1" s="1"/>
  <c r="J54" i="1"/>
  <c r="K54" i="1" s="1"/>
  <c r="L57" i="1"/>
  <c r="M57" i="1" s="1"/>
  <c r="N57" i="1"/>
  <c r="U57" i="1" s="1"/>
  <c r="J57" i="1"/>
  <c r="K57" i="1" s="1"/>
  <c r="P53" i="1"/>
  <c r="L53" i="1"/>
  <c r="M53" i="1" s="1"/>
  <c r="N53" i="1"/>
  <c r="O53" i="1" s="1"/>
  <c r="U53" i="1" s="1"/>
  <c r="J53" i="1"/>
  <c r="K53" i="1" s="1"/>
  <c r="W53" i="1" s="1"/>
  <c r="H23" i="1"/>
  <c r="H20" i="1"/>
  <c r="H24" i="1"/>
  <c r="H28" i="1"/>
  <c r="H19" i="1"/>
  <c r="H21" i="1"/>
  <c r="H25" i="1"/>
  <c r="H29" i="1"/>
  <c r="H22" i="1"/>
  <c r="H26" i="1"/>
  <c r="P30" i="1"/>
  <c r="L30" i="1"/>
  <c r="M30" i="1" s="1"/>
  <c r="J30" i="1"/>
  <c r="K30" i="1" s="1"/>
  <c r="L27" i="1"/>
  <c r="M27" i="1" s="1"/>
  <c r="N27" i="1"/>
  <c r="O27" i="1" s="1"/>
  <c r="J27" i="1"/>
  <c r="K27" i="1" s="1"/>
  <c r="L36" i="1"/>
  <c r="M36" i="1" s="1"/>
  <c r="P38" i="1"/>
  <c r="J40" i="1"/>
  <c r="K40" i="1" s="1"/>
  <c r="N40" i="1"/>
  <c r="O40" i="1" s="1"/>
  <c r="L46" i="1"/>
  <c r="M46" i="1" s="1"/>
  <c r="L40" i="1"/>
  <c r="M40" i="1" s="1"/>
  <c r="P46" i="1"/>
  <c r="J38" i="1"/>
  <c r="K38" i="1" s="1"/>
  <c r="N38" i="1"/>
  <c r="O38" i="1" s="1"/>
  <c r="J46" i="1"/>
  <c r="K46" i="1" s="1"/>
  <c r="J41" i="1"/>
  <c r="K41" i="1" s="1"/>
  <c r="W41" i="1" s="1"/>
  <c r="P43" i="1"/>
  <c r="L43" i="1"/>
  <c r="M43" i="1" s="1"/>
  <c r="N43" i="1"/>
  <c r="O43" i="1" s="1"/>
  <c r="J43" i="1"/>
  <c r="K43" i="1" s="1"/>
  <c r="P42" i="1"/>
  <c r="L42" i="1"/>
  <c r="M42" i="1" s="1"/>
  <c r="N42" i="1"/>
  <c r="O42" i="1" s="1"/>
  <c r="J42" i="1"/>
  <c r="K42" i="1" s="1"/>
  <c r="P45" i="1"/>
  <c r="L45" i="1"/>
  <c r="M45" i="1" s="1"/>
  <c r="N45" i="1"/>
  <c r="O45" i="1" s="1"/>
  <c r="J45" i="1"/>
  <c r="K45" i="1" s="1"/>
  <c r="P44" i="1"/>
  <c r="L44" i="1"/>
  <c r="M44" i="1" s="1"/>
  <c r="N44" i="1"/>
  <c r="O44" i="1" s="1"/>
  <c r="J44" i="1"/>
  <c r="K44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E7" i="1"/>
  <c r="E8" i="1"/>
  <c r="E9" i="1"/>
  <c r="E10" i="1"/>
  <c r="E11" i="1"/>
  <c r="E12" i="1"/>
  <c r="E13" i="1"/>
  <c r="E14" i="1"/>
  <c r="E6" i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N36" i="1" l="1"/>
  <c r="O36" i="1" s="1"/>
  <c r="W57" i="1"/>
  <c r="J39" i="1"/>
  <c r="K39" i="1" s="1"/>
  <c r="W40" i="1" s="1"/>
  <c r="N39" i="1"/>
  <c r="O39" i="1" s="1"/>
  <c r="U39" i="1" s="1"/>
  <c r="N37" i="1"/>
  <c r="O37" i="1" s="1"/>
  <c r="U37" i="1" s="1"/>
  <c r="Q30" i="1"/>
  <c r="I13" i="1"/>
  <c r="Q36" i="1"/>
  <c r="I11" i="1"/>
  <c r="I7" i="1"/>
  <c r="I29" i="1"/>
  <c r="L29" i="1" s="1"/>
  <c r="M29" i="1" s="1"/>
  <c r="I19" i="1"/>
  <c r="N19" i="1" s="1"/>
  <c r="O19" i="1" s="1"/>
  <c r="U19" i="1" s="1"/>
  <c r="V19" i="1" s="1"/>
  <c r="I23" i="1"/>
  <c r="N23" i="1" s="1"/>
  <c r="O23" i="1" s="1"/>
  <c r="I14" i="1"/>
  <c r="I10" i="1"/>
  <c r="P35" i="1"/>
  <c r="J37" i="1"/>
  <c r="K37" i="1" s="1"/>
  <c r="W38" i="1" s="1"/>
  <c r="J36" i="1"/>
  <c r="K36" i="1" s="1"/>
  <c r="W36" i="1" s="1"/>
  <c r="X36" i="1" s="1"/>
  <c r="N41" i="1"/>
  <c r="O41" i="1" s="1"/>
  <c r="U41" i="1" s="1"/>
  <c r="I26" i="1"/>
  <c r="J26" i="1" s="1"/>
  <c r="K26" i="1" s="1"/>
  <c r="W27" i="1" s="1"/>
  <c r="I25" i="1"/>
  <c r="P25" i="1" s="1"/>
  <c r="I28" i="1"/>
  <c r="J28" i="1" s="1"/>
  <c r="K28" i="1" s="1"/>
  <c r="W28" i="1" s="1"/>
  <c r="L41" i="1"/>
  <c r="M41" i="1" s="1"/>
  <c r="Q41" i="1" s="1"/>
  <c r="I9" i="1"/>
  <c r="I22" i="1"/>
  <c r="J22" i="1" s="1"/>
  <c r="K22" i="1" s="1"/>
  <c r="I21" i="1"/>
  <c r="L21" i="1" s="1"/>
  <c r="M21" i="1" s="1"/>
  <c r="I24" i="1"/>
  <c r="N24" i="1" s="1"/>
  <c r="O24" i="1" s="1"/>
  <c r="Q40" i="1"/>
  <c r="I12" i="1"/>
  <c r="I8" i="1"/>
  <c r="L39" i="1"/>
  <c r="M39" i="1" s="1"/>
  <c r="Q39" i="1" s="1"/>
  <c r="L37" i="1"/>
  <c r="M37" i="1" s="1"/>
  <c r="Q37" i="1" s="1"/>
  <c r="N35" i="1"/>
  <c r="O35" i="1" s="1"/>
  <c r="U35" i="1" s="1"/>
  <c r="V35" i="1" s="1"/>
  <c r="L35" i="1"/>
  <c r="M35" i="1" s="1"/>
  <c r="I20" i="1"/>
  <c r="P20" i="1" s="1"/>
  <c r="U58" i="1"/>
  <c r="Q38" i="1"/>
  <c r="V53" i="1"/>
  <c r="U54" i="1"/>
  <c r="V54" i="1" s="1"/>
  <c r="U55" i="1"/>
  <c r="U56" i="1"/>
  <c r="X53" i="1"/>
  <c r="W54" i="1"/>
  <c r="X54" i="1" s="1"/>
  <c r="W58" i="1"/>
  <c r="W55" i="1"/>
  <c r="W56" i="1"/>
  <c r="U43" i="1"/>
  <c r="W42" i="1"/>
  <c r="W43" i="1"/>
  <c r="Q53" i="1"/>
  <c r="Q54" i="1"/>
  <c r="Q55" i="1"/>
  <c r="Q56" i="1"/>
  <c r="Q27" i="1"/>
  <c r="P29" i="1"/>
  <c r="N28" i="1"/>
  <c r="O28" i="1" s="1"/>
  <c r="U28" i="1" s="1"/>
  <c r="Q42" i="1"/>
  <c r="G6" i="1"/>
  <c r="H6" i="1" s="1"/>
  <c r="I6" i="1" s="1"/>
  <c r="G4" i="1"/>
  <c r="H4" i="1" s="1"/>
  <c r="G5" i="1"/>
  <c r="H5" i="1" s="1"/>
  <c r="H3" i="1"/>
  <c r="E5" i="1"/>
  <c r="E4" i="1"/>
  <c r="E3" i="1"/>
  <c r="J20" i="1" l="1"/>
  <c r="K20" i="1" s="1"/>
  <c r="L20" i="1"/>
  <c r="M20" i="1" s="1"/>
  <c r="P24" i="1"/>
  <c r="W39" i="1"/>
  <c r="U40" i="1"/>
  <c r="N25" i="1"/>
  <c r="O25" i="1" s="1"/>
  <c r="U25" i="1" s="1"/>
  <c r="J23" i="1"/>
  <c r="K23" i="1" s="1"/>
  <c r="W23" i="1" s="1"/>
  <c r="J25" i="1"/>
  <c r="K25" i="1" s="1"/>
  <c r="W26" i="1" s="1"/>
  <c r="P23" i="1"/>
  <c r="L26" i="1"/>
  <c r="M26" i="1" s="1"/>
  <c r="N26" i="1"/>
  <c r="O26" i="1" s="1"/>
  <c r="U27" i="1" s="1"/>
  <c r="L19" i="1"/>
  <c r="M19" i="1" s="1"/>
  <c r="S38" i="1"/>
  <c r="R39" i="1"/>
  <c r="U38" i="1"/>
  <c r="V39" i="1" s="1"/>
  <c r="N29" i="1"/>
  <c r="O29" i="1" s="1"/>
  <c r="U29" i="1" s="1"/>
  <c r="I3" i="1"/>
  <c r="P3" i="1" s="1"/>
  <c r="J24" i="1"/>
  <c r="K24" i="1" s="1"/>
  <c r="N22" i="1"/>
  <c r="O22" i="1" s="1"/>
  <c r="U23" i="1" s="1"/>
  <c r="L23" i="1"/>
  <c r="M23" i="1" s="1"/>
  <c r="L28" i="1"/>
  <c r="M28" i="1" s="1"/>
  <c r="S40" i="1"/>
  <c r="U42" i="1"/>
  <c r="P28" i="1"/>
  <c r="J29" i="1"/>
  <c r="K29" i="1" s="1"/>
  <c r="W30" i="1" s="1"/>
  <c r="S37" i="1"/>
  <c r="U24" i="1"/>
  <c r="R37" i="1"/>
  <c r="P19" i="1"/>
  <c r="P26" i="1"/>
  <c r="Q35" i="1"/>
  <c r="R36" i="1" s="1"/>
  <c r="R41" i="1"/>
  <c r="S41" i="1"/>
  <c r="U36" i="1"/>
  <c r="V36" i="1" s="1"/>
  <c r="J21" i="1"/>
  <c r="K21" i="1" s="1"/>
  <c r="W22" i="1" s="1"/>
  <c r="N21" i="1"/>
  <c r="O21" i="1" s="1"/>
  <c r="X58" i="1"/>
  <c r="I5" i="1"/>
  <c r="L25" i="1"/>
  <c r="M25" i="1" s="1"/>
  <c r="Q25" i="1" s="1"/>
  <c r="P21" i="1"/>
  <c r="Q21" i="1" s="1"/>
  <c r="J19" i="1"/>
  <c r="K19" i="1" s="1"/>
  <c r="W19" i="1" s="1"/>
  <c r="R38" i="1"/>
  <c r="R40" i="1"/>
  <c r="N20" i="1"/>
  <c r="O20" i="1" s="1"/>
  <c r="U20" i="1" s="1"/>
  <c r="V20" i="1" s="1"/>
  <c r="I4" i="1"/>
  <c r="P22" i="1"/>
  <c r="L22" i="1"/>
  <c r="M22" i="1" s="1"/>
  <c r="L24" i="1"/>
  <c r="M24" i="1" s="1"/>
  <c r="W37" i="1"/>
  <c r="X37" i="1" s="1"/>
  <c r="X56" i="1"/>
  <c r="X57" i="1"/>
  <c r="S39" i="1"/>
  <c r="S42" i="1"/>
  <c r="R42" i="1"/>
  <c r="S58" i="1"/>
  <c r="R54" i="1"/>
  <c r="S54" i="1"/>
  <c r="V58" i="1"/>
  <c r="S56" i="1"/>
  <c r="R56" i="1"/>
  <c r="S57" i="1"/>
  <c r="X55" i="1"/>
  <c r="V56" i="1"/>
  <c r="V57" i="1"/>
  <c r="R55" i="1"/>
  <c r="S55" i="1"/>
  <c r="S53" i="1"/>
  <c r="R53" i="1"/>
  <c r="V55" i="1"/>
  <c r="Q20" i="1"/>
  <c r="Q29" i="1"/>
  <c r="L8" i="1"/>
  <c r="M8" i="1" s="1"/>
  <c r="N8" i="1"/>
  <c r="O8" i="1" s="1"/>
  <c r="L11" i="1"/>
  <c r="M11" i="1" s="1"/>
  <c r="N11" i="1"/>
  <c r="O11" i="1" s="1"/>
  <c r="L10" i="1"/>
  <c r="M10" i="1" s="1"/>
  <c r="N10" i="1"/>
  <c r="O10" i="1" s="1"/>
  <c r="L12" i="1"/>
  <c r="M12" i="1" s="1"/>
  <c r="N12" i="1"/>
  <c r="O12" i="1" s="1"/>
  <c r="L14" i="1"/>
  <c r="M14" i="1" s="1"/>
  <c r="N14" i="1"/>
  <c r="O14" i="1" s="1"/>
  <c r="L9" i="1"/>
  <c r="M9" i="1" s="1"/>
  <c r="N9" i="1"/>
  <c r="O9" i="1" s="1"/>
  <c r="L6" i="1"/>
  <c r="M6" i="1" s="1"/>
  <c r="N6" i="1"/>
  <c r="O6" i="1" s="1"/>
  <c r="L7" i="1"/>
  <c r="M7" i="1" s="1"/>
  <c r="N7" i="1"/>
  <c r="O7" i="1" s="1"/>
  <c r="L13" i="1"/>
  <c r="M13" i="1" s="1"/>
  <c r="N13" i="1"/>
  <c r="O13" i="1" s="1"/>
  <c r="J10" i="1"/>
  <c r="P10" i="1"/>
  <c r="J12" i="1"/>
  <c r="P12" i="1"/>
  <c r="J14" i="1"/>
  <c r="P14" i="1"/>
  <c r="J9" i="1"/>
  <c r="P9" i="1"/>
  <c r="J6" i="1"/>
  <c r="P6" i="1"/>
  <c r="J7" i="1"/>
  <c r="P7" i="1"/>
  <c r="J13" i="1"/>
  <c r="P13" i="1"/>
  <c r="J8" i="1"/>
  <c r="P8" i="1"/>
  <c r="J11" i="1"/>
  <c r="P11" i="1"/>
  <c r="Q26" i="1" l="1"/>
  <c r="R27" i="1" s="1"/>
  <c r="Q24" i="1"/>
  <c r="S25" i="1" s="1"/>
  <c r="J3" i="1"/>
  <c r="K3" i="1" s="1"/>
  <c r="W3" i="1" s="1"/>
  <c r="R35" i="1"/>
  <c r="U30" i="1"/>
  <c r="W29" i="1"/>
  <c r="W24" i="1"/>
  <c r="U26" i="1"/>
  <c r="Q19" i="1"/>
  <c r="R19" i="1" s="1"/>
  <c r="S36" i="1"/>
  <c r="Q23" i="1"/>
  <c r="X41" i="1"/>
  <c r="N3" i="1"/>
  <c r="O3" i="1" s="1"/>
  <c r="U3" i="1" s="1"/>
  <c r="V3" i="1" s="1"/>
  <c r="L3" i="1"/>
  <c r="M3" i="1" s="1"/>
  <c r="Q3" i="1" s="1"/>
  <c r="X38" i="1"/>
  <c r="X40" i="1"/>
  <c r="X39" i="1"/>
  <c r="X43" i="1"/>
  <c r="S35" i="1"/>
  <c r="T35" i="1" s="1"/>
  <c r="Q28" i="1"/>
  <c r="S29" i="1" s="1"/>
  <c r="V38" i="1"/>
  <c r="S20" i="1"/>
  <c r="W25" i="1"/>
  <c r="X42" i="1"/>
  <c r="S26" i="1"/>
  <c r="S27" i="1"/>
  <c r="V41" i="1"/>
  <c r="V43" i="1"/>
  <c r="V42" i="1"/>
  <c r="V37" i="1"/>
  <c r="Q22" i="1"/>
  <c r="R22" i="1" s="1"/>
  <c r="W21" i="1"/>
  <c r="W20" i="1"/>
  <c r="X20" i="1" s="1"/>
  <c r="U21" i="1"/>
  <c r="V21" i="1" s="1"/>
  <c r="X19" i="1"/>
  <c r="U22" i="1"/>
  <c r="V40" i="1"/>
  <c r="R30" i="1"/>
  <c r="S21" i="1"/>
  <c r="R21" i="1"/>
  <c r="S19" i="1"/>
  <c r="R20" i="1"/>
  <c r="T54" i="1"/>
  <c r="T53" i="1"/>
  <c r="T57" i="1"/>
  <c r="T55" i="1"/>
  <c r="T56" i="1"/>
  <c r="T58" i="1"/>
  <c r="U7" i="1"/>
  <c r="U8" i="1"/>
  <c r="U9" i="1"/>
  <c r="U10" i="1"/>
  <c r="U11" i="1"/>
  <c r="S30" i="1"/>
  <c r="X3" i="1"/>
  <c r="Q6" i="1"/>
  <c r="Q11" i="1"/>
  <c r="Q7" i="1"/>
  <c r="Q9" i="1"/>
  <c r="Q10" i="1"/>
  <c r="Q8" i="1"/>
  <c r="L4" i="1"/>
  <c r="M4" i="1" s="1"/>
  <c r="N4" i="1"/>
  <c r="O4" i="1" s="1"/>
  <c r="U4" i="1" s="1"/>
  <c r="V4" i="1" s="1"/>
  <c r="L5" i="1"/>
  <c r="M5" i="1" s="1"/>
  <c r="N5" i="1"/>
  <c r="O5" i="1" s="1"/>
  <c r="J4" i="1"/>
  <c r="K4" i="1" s="1"/>
  <c r="P4" i="1"/>
  <c r="J5" i="1"/>
  <c r="P5" i="1"/>
  <c r="W4" i="1" l="1"/>
  <c r="X4" i="1" s="1"/>
  <c r="R25" i="1"/>
  <c r="S24" i="1"/>
  <c r="R26" i="1"/>
  <c r="T40" i="1"/>
  <c r="R24" i="1"/>
  <c r="X28" i="1"/>
  <c r="S23" i="1"/>
  <c r="T41" i="1"/>
  <c r="T39" i="1"/>
  <c r="T42" i="1"/>
  <c r="T38" i="1"/>
  <c r="T43" i="1"/>
  <c r="T37" i="1"/>
  <c r="T36" i="1"/>
  <c r="R28" i="1"/>
  <c r="S28" i="1"/>
  <c r="R29" i="1"/>
  <c r="X21" i="1"/>
  <c r="S22" i="1"/>
  <c r="R23" i="1"/>
  <c r="V29" i="1"/>
  <c r="X25" i="1"/>
  <c r="U5" i="1"/>
  <c r="V24" i="1"/>
  <c r="V30" i="1"/>
  <c r="V22" i="1"/>
  <c r="X29" i="1"/>
  <c r="V26" i="1"/>
  <c r="V27" i="1"/>
  <c r="V28" i="1"/>
  <c r="X30" i="1"/>
  <c r="X26" i="1"/>
  <c r="V25" i="1"/>
  <c r="X27" i="1"/>
  <c r="V23" i="1"/>
  <c r="X24" i="1"/>
  <c r="X22" i="1"/>
  <c r="X23" i="1"/>
  <c r="T21" i="1"/>
  <c r="T19" i="1"/>
  <c r="T20" i="1"/>
  <c r="S8" i="1"/>
  <c r="R8" i="1"/>
  <c r="S7" i="1"/>
  <c r="R7" i="1"/>
  <c r="R10" i="1"/>
  <c r="R11" i="1"/>
  <c r="U6" i="1"/>
  <c r="S9" i="1"/>
  <c r="R9" i="1"/>
  <c r="S3" i="1"/>
  <c r="T3" i="1" s="1"/>
  <c r="R3" i="1"/>
  <c r="S10" i="1"/>
  <c r="S11" i="1"/>
  <c r="Q4" i="1"/>
  <c r="Q5" i="1"/>
  <c r="K5" i="1"/>
  <c r="W5" i="1" s="1"/>
  <c r="X5" i="1" l="1"/>
  <c r="T30" i="1"/>
  <c r="T27" i="1"/>
  <c r="T29" i="1"/>
  <c r="T24" i="1"/>
  <c r="T23" i="1"/>
  <c r="T22" i="1"/>
  <c r="T26" i="1"/>
  <c r="V11" i="1"/>
  <c r="T25" i="1"/>
  <c r="T28" i="1"/>
  <c r="V5" i="1"/>
  <c r="V6" i="1"/>
  <c r="V7" i="1"/>
  <c r="R5" i="1"/>
  <c r="V8" i="1"/>
  <c r="V10" i="1"/>
  <c r="V9" i="1"/>
  <c r="S4" i="1"/>
  <c r="T4" i="1" s="1"/>
  <c r="R4" i="1"/>
  <c r="S6" i="1"/>
  <c r="R6" i="1"/>
  <c r="S5" i="1"/>
  <c r="K6" i="1"/>
  <c r="W6" i="1" s="1"/>
  <c r="T11" i="1" l="1"/>
  <c r="T7" i="1"/>
  <c r="T5" i="1"/>
  <c r="T10" i="1"/>
  <c r="T9" i="1"/>
  <c r="T6" i="1"/>
  <c r="T8" i="1"/>
  <c r="X6" i="1"/>
  <c r="K7" i="1"/>
  <c r="W7" i="1" s="1"/>
  <c r="X7" i="1" s="1"/>
  <c r="K8" i="1" l="1"/>
  <c r="W8" i="1" s="1"/>
  <c r="X8" i="1" s="1"/>
  <c r="K9" i="1" l="1"/>
  <c r="W9" i="1" s="1"/>
  <c r="X9" i="1" s="1"/>
  <c r="K10" i="1" l="1"/>
  <c r="W10" i="1" s="1"/>
  <c r="X10" i="1" s="1"/>
  <c r="K11" i="1" l="1"/>
  <c r="W11" i="1" s="1"/>
  <c r="X11" i="1" s="1"/>
  <c r="K12" i="1" l="1"/>
  <c r="K13" i="1" l="1"/>
  <c r="K14" i="1" l="1"/>
</calcChain>
</file>

<file path=xl/sharedStrings.xml><?xml version="1.0" encoding="utf-8"?>
<sst xmlns="http://schemas.openxmlformats.org/spreadsheetml/2006/main" count="182" uniqueCount="59">
  <si>
    <t>Regelingloon</t>
  </si>
  <si>
    <t>Verloonde uren</t>
  </si>
  <si>
    <t>Gemiddeld SV-dagen</t>
  </si>
  <si>
    <t>Max uren per gewerkte dag</t>
  </si>
  <si>
    <t>Max uren per sv dag</t>
  </si>
  <si>
    <t>Jaar van berekening</t>
  </si>
  <si>
    <t>Aantal SV dagen in het jaar</t>
  </si>
  <si>
    <t>Jaarlijks vastgesteld door fonds</t>
  </si>
  <si>
    <t>Normuren per jaar</t>
  </si>
  <si>
    <t>afgeleid</t>
  </si>
  <si>
    <t>Franchise OP/NP</t>
  </si>
  <si>
    <t>Franchise OP/NP per uur</t>
  </si>
  <si>
    <t>afgeleid - geen afronding, in voorbeeld 5 decimalen</t>
  </si>
  <si>
    <t>Max pensioengev salaris per jaar OP/NP</t>
  </si>
  <si>
    <t>Max pensioengev salaris per uur OP/NP</t>
  </si>
  <si>
    <t>Max pensioengev salaris per jaar VPL</t>
  </si>
  <si>
    <t>Max pensioengev salaris per uur VPL</t>
  </si>
  <si>
    <t>Premie % OP/NP</t>
  </si>
  <si>
    <t>Premie % VPL</t>
  </si>
  <si>
    <t>Premie% VOS</t>
  </si>
  <si>
    <t>Tijdvak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</si>
  <si>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</si>
  <si>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</si>
  <si>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</si>
  <si>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</si>
  <si>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</si>
  <si>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</si>
  <si>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</si>
  <si>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</si>
  <si>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</si>
  <si>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</si>
  <si>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</si>
  <si>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</si>
  <si>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Cumulatief Regelingloon</t>
  </si>
  <si>
    <t>Cumulatief Gemiddeld SV-dagen</t>
  </si>
  <si>
    <t>Cumulatief Verloonde uren</t>
  </si>
  <si>
    <t>Cumulatief Franchise om mee te rekenen</t>
  </si>
  <si>
    <t>Cumulatief Grondslag BPS om mee te rekenen</t>
  </si>
  <si>
    <t>Cumulatief Max Regelingloon VPL</t>
  </si>
  <si>
    <t>Cumulatief Regeling VPL om mee te rekenen</t>
  </si>
  <si>
    <t>Cumulatief Regelingloon BPS om mee te rekenen</t>
  </si>
  <si>
    <t>Cumulatief Regelingloon VOS om mee te rekenen</t>
  </si>
  <si>
    <t>Max salaris VOS</t>
  </si>
  <si>
    <t>Cumulatief Max SV uren tijdvak 
(7,6u p. SV-dag)</t>
  </si>
  <si>
    <t>BPS/VOS/VPL Uren om mee te rekenen</t>
  </si>
  <si>
    <t>Cumulatief max regelingloon BPS</t>
  </si>
  <si>
    <t>Cumulatief Max regelingloon VOS</t>
  </si>
  <si>
    <t>Fulltime</t>
  </si>
  <si>
    <t>Parttime</t>
  </si>
  <si>
    <t>Premie OP/NP</t>
  </si>
  <si>
    <t>Cumulatief premie OP/NP</t>
  </si>
  <si>
    <t>Premie VPL</t>
  </si>
  <si>
    <t>Cumulatief premie VPL</t>
  </si>
  <si>
    <t>Premie VOS</t>
  </si>
  <si>
    <t>Cumulatief premie VOS</t>
  </si>
  <si>
    <t>Grondslag BPS om mee te rekenen</t>
  </si>
  <si>
    <t xml:space="preserve">Verloonde uren &gt;7,6 </t>
  </si>
  <si>
    <t>Verloonde uren &gt;7,6 en salaris boven maximum</t>
  </si>
  <si>
    <t>1 maart in dienst en 1 september uit dienst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</si>
</sst>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#,##0.00_ ;\-#,##0.00\ "/>
    <numFmt numFmtId="165" formatCode="#,##0_ ;\-#,##0\ "/>
    <numFmt numFmtId="166" formatCode="0.00000"/>
    <numFmt numFmtId="167" formatCode="mmm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165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44" fontId="3" fillId="2" borderId="1" xfId="1" applyFont="1" applyFill="1" applyBorder="1"/>
    <xf numFmtId="166" fontId="2" fillId="3" borderId="1" xfId="0" applyNumberFormat="1" applyFont="1" applyFill="1" applyBorder="1"/>
    <xf numFmtId="44" fontId="3" fillId="2" borderId="1" xfId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/>
    </xf>
    <xf numFmtId="10" fontId="3" fillId="2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7" fontId="4" fillId="5" borderId="2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4" fontId="0" fillId="3" borderId="0" xfId="0" applyNumberFormat="1" applyFill="1"/>
    <xf numFmtId="44" fontId="0" fillId="3" borderId="0" xfId="1" applyFont="1" applyFill="1"/>
    <xf numFmtId="44" fontId="0" fillId="4" borderId="0" xfId="1" applyFont="1" applyFill="1"/>
    <xf numFmtId="2" fontId="0" fillId="4" borderId="0" xfId="0" applyNumberFormat="1" applyFill="1"/>
    <xf numFmtId="167" fontId="4" fillId="5" borderId="2" xfId="0" applyNumberFormat="1" applyFont="1" applyFill="1" applyBorder="1" applyAlignment="1">
      <alignment horizontal="center" wrapText="1"/>
    </xf>
    <xf numFmtId="0" fontId="5" fillId="0" borderId="0" xfId="0" applyFont="1"/>
    <xf numFmtId="44" fontId="0" fillId="0" borderId="0" xfId="0" applyNumberFormat="1"/>
    <xf numFmtId="44" fontId="0" fillId="0" borderId="0" xfId="1" applyFont="1"/>
    <xf numFmtId="44" fontId="4" fillId="5" borderId="2" xfId="1" applyFont="1" applyFill="1" applyBorder="1" applyAlignment="1">
      <alignment horizontal="center" wrapText="1"/>
    </xf>
    <xf numFmtId="44" fontId="0" fillId="3" borderId="0" xfId="0" applyNumberFormat="1" applyFill="1"/>
    <xf numFmtId="166" fontId="0" fillId="6" borderId="0" xfId="0" applyNumberFormat="1" applyFill="1"/>
    <xf numFmtId="44" fontId="0" fillId="6" borderId="0" xfId="1" applyFont="1" applyFill="1"/>
    <xf numFmtId="44" fontId="0" fillId="4" borderId="0" xfId="0" applyNumberFormat="1" applyFill="1"/>
    <xf numFmtId="44" fontId="0" fillId="0" borderId="0" xfId="1" applyFont="1" applyFill="1"/>
  </cellXfs>
  <cellStyles count="5">
    <cellStyle name="Komma 2" xfId="4" xr:uid="{00000000-0005-0000-0000-000000000000}"/>
    <cellStyle name="Komma 3" xfId="3" xr:uid="{00000000-0005-0000-0000-000001000000}"/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2"/>
  <sheetViews>
    <sheetView tabSelected="1" topLeftCell="F43" zoomScaleNormal="100" workbookViewId="0">
      <selection activeCell="S67" sqref="S67"/>
    </sheetView>
  </sheetViews>
  <sheetFormatPr defaultRowHeight="15" x14ac:dyDescent="0.25"/>
  <cols>
    <col min="1" max="1" width="13.42578125" customWidth="1"/>
    <col min="2" max="11" width="13.5703125" customWidth="1"/>
    <col min="12" max="15" width="13.5703125" style="3" customWidth="1"/>
    <col min="16" max="17" width="13.5703125" customWidth="1"/>
    <col min="18" max="18" width="13.5703125" style="3" customWidth="1"/>
    <col min="19" max="19" width="13.5703125" style="22" customWidth="1"/>
    <col min="20" max="26" width="13.5703125" customWidth="1"/>
  </cols>
  <sheetData>
    <row r="1" spans="1:25" s="3" customFormat="1" x14ac:dyDescent="0.25">
      <c r="A1" s="3" t="s">
        <v>47</v>
      </c>
      <c r="B1" s="3" t="s">
        <v>56</v>
      </c>
      <c r="S1" s="22"/>
    </row>
    <row r="2" spans="1:25" s="20" customFormat="1" ht="51.75" x14ac:dyDescent="0.25">
      <c r="A2" s="19" t="s">
        <v>20</v>
      </c>
      <c r="B2" s="19" t="s">
        <v>0</v>
      </c>
      <c r="C2" s="19" t="s">
        <v>33</v>
      </c>
      <c r="D2" s="19" t="s">
        <v>1</v>
      </c>
      <c r="E2" s="19" t="s">
        <v>35</v>
      </c>
      <c r="F2" s="19" t="s">
        <v>2</v>
      </c>
      <c r="G2" s="19" t="s">
        <v>34</v>
      </c>
      <c r="H2" s="19" t="s">
        <v>43</v>
      </c>
      <c r="I2" s="19" t="s">
        <v>44</v>
      </c>
      <c r="J2" s="19" t="s">
        <v>46</v>
      </c>
      <c r="K2" s="19" t="s">
        <v>41</v>
      </c>
      <c r="L2" s="19" t="s">
        <v>45</v>
      </c>
      <c r="M2" s="19" t="s">
        <v>40</v>
      </c>
      <c r="N2" s="19" t="s">
        <v>38</v>
      </c>
      <c r="O2" s="19" t="s">
        <v>39</v>
      </c>
      <c r="P2" s="19" t="s">
        <v>36</v>
      </c>
      <c r="Q2" s="19" t="s">
        <v>37</v>
      </c>
      <c r="R2" s="19" t="s">
        <v>55</v>
      </c>
      <c r="S2" s="23" t="s">
        <v>49</v>
      </c>
      <c r="T2" s="19" t="s">
        <v>50</v>
      </c>
      <c r="U2" s="23" t="s">
        <v>51</v>
      </c>
      <c r="V2" s="19" t="s">
        <v>52</v>
      </c>
      <c r="W2" s="23" t="s">
        <v>53</v>
      </c>
      <c r="X2" s="19" t="s">
        <v>54</v>
      </c>
    </row>
    <row r="3" spans="1:25" x14ac:dyDescent="0.25">
      <c r="A3" s="13" t="s">
        <v>21</v>
      </c>
      <c r="B3" s="17">
        <v>2705</v>
      </c>
      <c r="C3" s="16">
        <f>B3</f>
        <v>2705</v>
      </c>
      <c r="D3" s="18">
        <v>198</v>
      </c>
      <c r="E3" s="15">
        <f>SUM($D$3:D3)</f>
        <v>198</v>
      </c>
      <c r="F3" s="14">
        <f>Aantal_SV_dagen_in_het_jaar/12</f>
        <v>21.833333333333332</v>
      </c>
      <c r="G3" s="15">
        <f>SUM($F$3:F3)</f>
        <v>21.833333333333332</v>
      </c>
      <c r="H3" s="14">
        <f>G3*7.6</f>
        <v>165.93333333333331</v>
      </c>
      <c r="I3" s="25">
        <f t="shared" ref="I3:I14" si="0">MIN(H3,E3)</f>
        <v>165.93333333333331</v>
      </c>
      <c r="J3" s="15">
        <f>I3*Parameters!$B$13</f>
        <v>4769.333333333333</v>
      </c>
      <c r="K3" s="26">
        <f t="shared" ref="K3:K14" si="1">MIN(J3,C3)</f>
        <v>2705</v>
      </c>
      <c r="L3" s="16">
        <f t="shared" ref="L3:L14" si="2">I3*Max_pensioengev_salaris_per_uur_OP_NP</f>
        <v>9175.9166666666661</v>
      </c>
      <c r="M3" s="26">
        <f t="shared" ref="M3:M14" si="3">MIN(L3,C3)</f>
        <v>2705</v>
      </c>
      <c r="N3" s="16">
        <f t="shared" ref="N3:N14" si="4">I3*Max_pensioengev_salaris_per_uur_VPL</f>
        <v>4769.333333333333</v>
      </c>
      <c r="O3" s="26">
        <f t="shared" ref="O3:O14" si="5">MIN(N3,C3)</f>
        <v>2705</v>
      </c>
      <c r="P3" s="16">
        <f t="shared" ref="P3:P14" si="6">I3*Franchise_OP_NP_per_uur</f>
        <v>1180.5833333333333</v>
      </c>
      <c r="Q3" s="16">
        <f>IF(M3-P3&lt;0,0,M3-P3)</f>
        <v>1524.4166666666667</v>
      </c>
      <c r="R3" s="17">
        <f>Q3</f>
        <v>1524.4166666666667</v>
      </c>
      <c r="S3" s="17">
        <f>Q3*Premie___OP_NP</f>
        <v>309.45658333333336</v>
      </c>
      <c r="T3" s="24">
        <f>SUM($S$3:S3)</f>
        <v>309.45658333333336</v>
      </c>
      <c r="U3" s="27">
        <f>O3*Premie___VPL</f>
        <v>54.1</v>
      </c>
      <c r="V3" s="24">
        <f>SUM($U$3:U3)</f>
        <v>54.1</v>
      </c>
      <c r="W3" s="27">
        <f>K3*Premie__VOS</f>
        <v>29.754999999999999</v>
      </c>
      <c r="X3" s="24">
        <f>SUM($W$3:W3)</f>
        <v>29.754999999999999</v>
      </c>
    </row>
    <row r="4" spans="1:25" x14ac:dyDescent="0.25">
      <c r="A4" s="13" t="s">
        <v>22</v>
      </c>
      <c r="B4" s="17">
        <v>2400</v>
      </c>
      <c r="C4" s="16">
        <f t="shared" ref="C4:C14" si="7">C3+B4</f>
        <v>5105</v>
      </c>
      <c r="D4" s="18">
        <v>140</v>
      </c>
      <c r="E4" s="15">
        <f>SUM($D$3:D4)</f>
        <v>338</v>
      </c>
      <c r="F4" s="14">
        <f t="shared" ref="F3:F14" si="8">Aantal_SV_dagen_in_het_jaar/12</f>
        <v>21.833333333333332</v>
      </c>
      <c r="G4" s="15">
        <f>SUM($F$3:F4)</f>
        <v>43.666666666666664</v>
      </c>
      <c r="H4" s="14">
        <f t="shared" ref="H4:H14" si="9">G4*7.6</f>
        <v>331.86666666666662</v>
      </c>
      <c r="I4" s="25">
        <f t="shared" si="0"/>
        <v>331.86666666666662</v>
      </c>
      <c r="J4" s="15">
        <f>I4*Parameters!$B$13</f>
        <v>9538.6666666666661</v>
      </c>
      <c r="K4" s="26">
        <f t="shared" si="1"/>
        <v>5105</v>
      </c>
      <c r="L4" s="16">
        <f t="shared" si="2"/>
        <v>18351.833333333332</v>
      </c>
      <c r="M4" s="26">
        <f t="shared" si="3"/>
        <v>5105</v>
      </c>
      <c r="N4" s="16">
        <f t="shared" si="4"/>
        <v>9538.6666666666661</v>
      </c>
      <c r="O4" s="26">
        <f t="shared" si="5"/>
        <v>5105</v>
      </c>
      <c r="P4" s="16">
        <f t="shared" si="6"/>
        <v>2361.1666666666665</v>
      </c>
      <c r="Q4" s="16">
        <f t="shared" ref="Q4:Q14" si="10">IF(M4-P4&lt;0,0,M4-P4)</f>
        <v>2743.8333333333335</v>
      </c>
      <c r="R4" s="17">
        <f t="shared" ref="R4:R14" si="11">Q4-Q3</f>
        <v>1219.4166666666667</v>
      </c>
      <c r="S4" s="17">
        <f t="shared" ref="S4:S14" si="12">(Q4-Q3)*Premie___OP_NP</f>
        <v>247.54158333333336</v>
      </c>
      <c r="T4" s="24">
        <f>SUM($S$3:S4)</f>
        <v>556.99816666666675</v>
      </c>
      <c r="U4" s="27">
        <f t="shared" ref="U4:U14" si="13">(O4-O3)*Premie___VPL</f>
        <v>48</v>
      </c>
      <c r="V4" s="24">
        <f>SUM($U$3:U4)</f>
        <v>102.1</v>
      </c>
      <c r="W4" s="27">
        <f t="shared" ref="W4:W14" si="14">(K4-K3)*Premie__VOS</f>
        <v>26.4</v>
      </c>
      <c r="X4" s="24">
        <f>SUM($W$3:W4)</f>
        <v>56.155000000000001</v>
      </c>
    </row>
    <row r="5" spans="1:25" x14ac:dyDescent="0.25">
      <c r="A5" s="13" t="s">
        <v>23</v>
      </c>
      <c r="B5" s="17">
        <v>2400</v>
      </c>
      <c r="C5" s="16">
        <f t="shared" si="7"/>
        <v>7505</v>
      </c>
      <c r="D5" s="18">
        <v>155</v>
      </c>
      <c r="E5" s="15">
        <f>SUM($D$3:D5)</f>
        <v>493</v>
      </c>
      <c r="F5" s="14">
        <f t="shared" si="8"/>
        <v>21.833333333333332</v>
      </c>
      <c r="G5" s="15">
        <f>SUM($F$3:F5)</f>
        <v>65.5</v>
      </c>
      <c r="H5" s="14">
        <f t="shared" si="9"/>
        <v>497.79999999999995</v>
      </c>
      <c r="I5" s="25">
        <f t="shared" si="0"/>
        <v>493</v>
      </c>
      <c r="J5" s="15">
        <f>I5*Parameters!$B$13</f>
        <v>14170.03615910004</v>
      </c>
      <c r="K5" s="26">
        <f t="shared" si="1"/>
        <v>7505</v>
      </c>
      <c r="L5" s="16">
        <f t="shared" si="2"/>
        <v>27262.31568903174</v>
      </c>
      <c r="M5" s="26">
        <f t="shared" si="3"/>
        <v>7505</v>
      </c>
      <c r="N5" s="16">
        <f t="shared" si="4"/>
        <v>14170.03615910004</v>
      </c>
      <c r="O5" s="26">
        <f t="shared" si="5"/>
        <v>7505</v>
      </c>
      <c r="P5" s="16">
        <f t="shared" si="6"/>
        <v>3507.5989353153882</v>
      </c>
      <c r="Q5" s="16">
        <f t="shared" si="10"/>
        <v>3997.4010646846118</v>
      </c>
      <c r="R5" s="17">
        <f t="shared" si="11"/>
        <v>1253.5677313512783</v>
      </c>
      <c r="S5" s="17">
        <f t="shared" si="12"/>
        <v>254.47424946430951</v>
      </c>
      <c r="T5" s="24">
        <f>SUM($S$3:S5)</f>
        <v>811.47241613097628</v>
      </c>
      <c r="U5" s="27">
        <f t="shared" si="13"/>
        <v>48</v>
      </c>
      <c r="V5" s="24">
        <f>SUM($U$3:U5)</f>
        <v>150.1</v>
      </c>
      <c r="W5" s="27">
        <f t="shared" si="14"/>
        <v>26.4</v>
      </c>
      <c r="X5" s="24">
        <f>SUM($W$3:W5)</f>
        <v>82.555000000000007</v>
      </c>
    </row>
    <row r="6" spans="1:25" x14ac:dyDescent="0.25">
      <c r="A6" s="13" t="s">
        <v>24</v>
      </c>
      <c r="B6" s="17">
        <v>3000</v>
      </c>
      <c r="C6" s="16">
        <f t="shared" si="7"/>
        <v>10505</v>
      </c>
      <c r="D6" s="18">
        <v>220</v>
      </c>
      <c r="E6" s="15">
        <f>SUM($D$3:D6)</f>
        <v>713</v>
      </c>
      <c r="F6" s="14">
        <f t="shared" si="8"/>
        <v>21.833333333333332</v>
      </c>
      <c r="G6" s="15">
        <f>SUM($F$3:F6)</f>
        <v>87.333333333333329</v>
      </c>
      <c r="H6" s="14">
        <f t="shared" si="9"/>
        <v>663.73333333333323</v>
      </c>
      <c r="I6" s="25">
        <f t="shared" si="0"/>
        <v>663.73333333333323</v>
      </c>
      <c r="J6" s="15">
        <f>I6*Parameters!$B$13</f>
        <v>19077.333333333332</v>
      </c>
      <c r="K6" s="26">
        <f t="shared" si="1"/>
        <v>10505</v>
      </c>
      <c r="L6" s="16">
        <f t="shared" si="2"/>
        <v>36703.666666666664</v>
      </c>
      <c r="M6" s="26">
        <f t="shared" si="3"/>
        <v>10505</v>
      </c>
      <c r="N6" s="16">
        <f t="shared" si="4"/>
        <v>19077.333333333332</v>
      </c>
      <c r="O6" s="26">
        <f t="shared" si="5"/>
        <v>10505</v>
      </c>
      <c r="P6" s="16">
        <f t="shared" si="6"/>
        <v>4722.333333333333</v>
      </c>
      <c r="Q6" s="16">
        <f t="shared" si="10"/>
        <v>5782.666666666667</v>
      </c>
      <c r="R6" s="17">
        <f t="shared" si="11"/>
        <v>1785.2656019820552</v>
      </c>
      <c r="S6" s="17">
        <f t="shared" si="12"/>
        <v>362.4089172023572</v>
      </c>
      <c r="T6" s="24">
        <f>SUM($S$3:S6)</f>
        <v>1173.8813333333335</v>
      </c>
      <c r="U6" s="27">
        <f t="shared" si="13"/>
        <v>60</v>
      </c>
      <c r="V6" s="24">
        <f>SUM($U$3:U6)</f>
        <v>210.1</v>
      </c>
      <c r="W6" s="27">
        <f t="shared" si="14"/>
        <v>33</v>
      </c>
      <c r="X6" s="24">
        <f>SUM($W$3:W6)</f>
        <v>115.55500000000001</v>
      </c>
      <c r="Y6" s="21"/>
    </row>
    <row r="7" spans="1:25" x14ac:dyDescent="0.25">
      <c r="A7" s="13" t="s">
        <v>25</v>
      </c>
      <c r="B7" s="17">
        <v>5700</v>
      </c>
      <c r="C7" s="16">
        <f t="shared" si="7"/>
        <v>16205</v>
      </c>
      <c r="D7" s="18">
        <v>80</v>
      </c>
      <c r="E7" s="15">
        <f>SUM($D$3:D7)</f>
        <v>793</v>
      </c>
      <c r="F7" s="14">
        <f t="shared" si="8"/>
        <v>21.833333333333332</v>
      </c>
      <c r="G7" s="15">
        <f>SUM($F$3:F7)</f>
        <v>109.16666666666666</v>
      </c>
      <c r="H7" s="14">
        <f t="shared" si="9"/>
        <v>829.66666666666652</v>
      </c>
      <c r="I7" s="25">
        <f t="shared" si="0"/>
        <v>793</v>
      </c>
      <c r="J7" s="15">
        <f>I7*Parameters!$B$13</f>
        <v>22792.776215347531</v>
      </c>
      <c r="K7" s="26">
        <f t="shared" si="1"/>
        <v>16205</v>
      </c>
      <c r="L7" s="16">
        <f t="shared" si="2"/>
        <v>43851.960124548015</v>
      </c>
      <c r="M7" s="26">
        <f t="shared" si="3"/>
        <v>16205</v>
      </c>
      <c r="N7" s="16">
        <f t="shared" si="4"/>
        <v>22792.776215347531</v>
      </c>
      <c r="O7" s="26">
        <f t="shared" si="5"/>
        <v>16205</v>
      </c>
      <c r="P7" s="16">
        <f t="shared" si="6"/>
        <v>5642.0404781036568</v>
      </c>
      <c r="Q7" s="16">
        <f t="shared" si="10"/>
        <v>10562.959521896344</v>
      </c>
      <c r="R7" s="17">
        <f t="shared" si="11"/>
        <v>4780.2928552296771</v>
      </c>
      <c r="S7" s="17">
        <f t="shared" si="12"/>
        <v>970.3994496116245</v>
      </c>
      <c r="T7" s="24">
        <f>SUM($S$3:S7)</f>
        <v>2144.280782944958</v>
      </c>
      <c r="U7" s="27">
        <f t="shared" si="13"/>
        <v>114</v>
      </c>
      <c r="V7" s="24">
        <f>SUM($U$3:U7)</f>
        <v>324.10000000000002</v>
      </c>
      <c r="W7" s="27">
        <f t="shared" si="14"/>
        <v>62.699999999999996</v>
      </c>
      <c r="X7" s="24">
        <f>SUM($W$3:W7)</f>
        <v>178.255</v>
      </c>
    </row>
    <row r="8" spans="1:25" x14ac:dyDescent="0.25">
      <c r="A8" s="13" t="s">
        <v>26</v>
      </c>
      <c r="B8" s="17">
        <v>2700</v>
      </c>
      <c r="C8" s="16">
        <f t="shared" si="7"/>
        <v>18905</v>
      </c>
      <c r="D8" s="18">
        <v>161</v>
      </c>
      <c r="E8" s="15">
        <f>SUM($D$3:D8)</f>
        <v>954</v>
      </c>
      <c r="F8" s="14">
        <f t="shared" si="8"/>
        <v>21.833333333333332</v>
      </c>
      <c r="G8" s="15">
        <f>SUM($F$3:F8)</f>
        <v>131</v>
      </c>
      <c r="H8" s="14">
        <f t="shared" si="9"/>
        <v>995.59999999999991</v>
      </c>
      <c r="I8" s="25">
        <f t="shared" si="0"/>
        <v>954</v>
      </c>
      <c r="J8" s="15">
        <f>I8*Parameters!$B$13</f>
        <v>27420.313378867017</v>
      </c>
      <c r="K8" s="26">
        <f t="shared" si="1"/>
        <v>18905</v>
      </c>
      <c r="L8" s="16">
        <f t="shared" si="2"/>
        <v>52755.069304941746</v>
      </c>
      <c r="M8" s="26">
        <f t="shared" si="3"/>
        <v>18905</v>
      </c>
      <c r="N8" s="16">
        <f t="shared" si="4"/>
        <v>27420.313378867017</v>
      </c>
      <c r="O8" s="26">
        <f t="shared" si="5"/>
        <v>18905</v>
      </c>
      <c r="P8" s="16">
        <f t="shared" si="6"/>
        <v>6787.524106066694</v>
      </c>
      <c r="Q8" s="16">
        <f t="shared" si="10"/>
        <v>12117.475893933306</v>
      </c>
      <c r="R8" s="17">
        <f t="shared" si="11"/>
        <v>1554.5163720369619</v>
      </c>
      <c r="S8" s="17">
        <f t="shared" si="12"/>
        <v>315.56682352350327</v>
      </c>
      <c r="T8" s="24">
        <f>SUM($S$3:S8)</f>
        <v>2459.8476064684614</v>
      </c>
      <c r="U8" s="27">
        <f t="shared" si="13"/>
        <v>54</v>
      </c>
      <c r="V8" s="24">
        <f>SUM($U$3:U8)</f>
        <v>378.1</v>
      </c>
      <c r="W8" s="27">
        <f t="shared" si="14"/>
        <v>29.7</v>
      </c>
      <c r="X8" s="24">
        <f>SUM($W$3:W8)</f>
        <v>207.95499999999998</v>
      </c>
    </row>
    <row r="9" spans="1:25" x14ac:dyDescent="0.25">
      <c r="A9" s="13" t="s">
        <v>27</v>
      </c>
      <c r="B9" s="17">
        <v>2700</v>
      </c>
      <c r="C9" s="16">
        <f t="shared" si="7"/>
        <v>21605</v>
      </c>
      <c r="D9" s="18">
        <v>152</v>
      </c>
      <c r="E9" s="15">
        <f>SUM($D$3:D9)</f>
        <v>1106</v>
      </c>
      <c r="F9" s="14">
        <f t="shared" si="8"/>
        <v>21.833333333333332</v>
      </c>
      <c r="G9" s="15">
        <f>SUM($F$3:F9)</f>
        <v>152.83333333333334</v>
      </c>
      <c r="H9" s="14">
        <f t="shared" si="9"/>
        <v>1161.5333333333333</v>
      </c>
      <c r="I9" s="25">
        <f t="shared" si="0"/>
        <v>1106</v>
      </c>
      <c r="J9" s="15">
        <f>I9*Parameters!$B$13</f>
        <v>31789.168340699078</v>
      </c>
      <c r="K9" s="26">
        <f t="shared" si="1"/>
        <v>21605</v>
      </c>
      <c r="L9" s="16">
        <f t="shared" si="2"/>
        <v>61160.489152269991</v>
      </c>
      <c r="M9" s="26">
        <f t="shared" si="3"/>
        <v>21605</v>
      </c>
      <c r="N9" s="16">
        <f t="shared" si="4"/>
        <v>31789.168340699078</v>
      </c>
      <c r="O9" s="26">
        <f t="shared" si="5"/>
        <v>21605</v>
      </c>
      <c r="P9" s="16">
        <f t="shared" si="6"/>
        <v>7868.9744877460835</v>
      </c>
      <c r="Q9" s="16">
        <f t="shared" si="10"/>
        <v>13736.025512253917</v>
      </c>
      <c r="R9" s="17">
        <f t="shared" si="11"/>
        <v>1618.5496183206105</v>
      </c>
      <c r="S9" s="17">
        <f t="shared" si="12"/>
        <v>328.56557251908396</v>
      </c>
      <c r="T9" s="24">
        <f>SUM($S$3:S9)</f>
        <v>2788.4131789875455</v>
      </c>
      <c r="U9" s="27">
        <f t="shared" si="13"/>
        <v>54</v>
      </c>
      <c r="V9" s="24">
        <f>SUM($U$3:U9)</f>
        <v>432.1</v>
      </c>
      <c r="W9" s="27">
        <f t="shared" si="14"/>
        <v>29.7</v>
      </c>
      <c r="X9" s="24">
        <f>SUM($W$3:W9)</f>
        <v>237.65499999999997</v>
      </c>
    </row>
    <row r="10" spans="1:25" x14ac:dyDescent="0.25">
      <c r="A10" s="13" t="s">
        <v>28</v>
      </c>
      <c r="B10" s="17">
        <v>2700</v>
      </c>
      <c r="C10" s="16">
        <f t="shared" si="7"/>
        <v>24305</v>
      </c>
      <c r="D10" s="18">
        <v>152</v>
      </c>
      <c r="E10" s="15">
        <f>SUM($D$3:D10)</f>
        <v>1258</v>
      </c>
      <c r="F10" s="14">
        <f t="shared" si="8"/>
        <v>21.833333333333332</v>
      </c>
      <c r="G10" s="15">
        <f>SUM($F$3:F10)</f>
        <v>174.66666666666669</v>
      </c>
      <c r="H10" s="14">
        <f t="shared" si="9"/>
        <v>1327.4666666666667</v>
      </c>
      <c r="I10" s="25">
        <f t="shared" si="0"/>
        <v>1258</v>
      </c>
      <c r="J10" s="15">
        <f>I10*Parameters!$B$13</f>
        <v>36158.023302531139</v>
      </c>
      <c r="K10" s="26">
        <f t="shared" si="1"/>
        <v>24305</v>
      </c>
      <c r="L10" s="16">
        <f t="shared" si="2"/>
        <v>69565.908999598236</v>
      </c>
      <c r="M10" s="26">
        <f t="shared" si="3"/>
        <v>24305</v>
      </c>
      <c r="N10" s="16">
        <f t="shared" si="4"/>
        <v>36158.023302531139</v>
      </c>
      <c r="O10" s="26">
        <f t="shared" si="5"/>
        <v>24305</v>
      </c>
      <c r="P10" s="16">
        <f t="shared" si="6"/>
        <v>8950.4248694254729</v>
      </c>
      <c r="Q10" s="16">
        <f t="shared" si="10"/>
        <v>15354.575130574527</v>
      </c>
      <c r="R10" s="17">
        <f t="shared" si="11"/>
        <v>1618.5496183206105</v>
      </c>
      <c r="S10" s="17">
        <f t="shared" si="12"/>
        <v>328.56557251908396</v>
      </c>
      <c r="T10" s="24">
        <f>SUM($S$3:S10)</f>
        <v>3116.9787515066296</v>
      </c>
      <c r="U10" s="27">
        <f t="shared" si="13"/>
        <v>54</v>
      </c>
      <c r="V10" s="24">
        <f>SUM($U$3:U10)</f>
        <v>486.1</v>
      </c>
      <c r="W10" s="27">
        <f t="shared" si="14"/>
        <v>29.7</v>
      </c>
      <c r="X10" s="24">
        <f>SUM($W$3:W10)</f>
        <v>267.35499999999996</v>
      </c>
    </row>
    <row r="11" spans="1:25" x14ac:dyDescent="0.25">
      <c r="A11" s="13" t="s">
        <v>29</v>
      </c>
      <c r="B11" s="17">
        <v>2700</v>
      </c>
      <c r="C11" s="16">
        <f t="shared" si="7"/>
        <v>27005</v>
      </c>
      <c r="D11" s="18">
        <v>152</v>
      </c>
      <c r="E11" s="15">
        <f>SUM($D$3:D11)</f>
        <v>1410</v>
      </c>
      <c r="F11" s="14">
        <f t="shared" si="8"/>
        <v>21.833333333333332</v>
      </c>
      <c r="G11" s="15">
        <f>SUM($F$3:F11)</f>
        <v>196.50000000000003</v>
      </c>
      <c r="H11" s="14">
        <f t="shared" si="9"/>
        <v>1493.4</v>
      </c>
      <c r="I11" s="25">
        <f t="shared" si="0"/>
        <v>1410</v>
      </c>
      <c r="J11" s="15">
        <f>I11*Parameters!$B$13</f>
        <v>40526.8782643632</v>
      </c>
      <c r="K11" s="26">
        <f t="shared" si="1"/>
        <v>27005</v>
      </c>
      <c r="L11" s="16">
        <f t="shared" si="2"/>
        <v>77971.328846926481</v>
      </c>
      <c r="M11" s="26">
        <f t="shared" si="3"/>
        <v>27005</v>
      </c>
      <c r="N11" s="16">
        <f t="shared" si="4"/>
        <v>40526.8782643632</v>
      </c>
      <c r="O11" s="26">
        <f t="shared" si="5"/>
        <v>27005</v>
      </c>
      <c r="P11" s="16">
        <f t="shared" si="6"/>
        <v>10031.875251104862</v>
      </c>
      <c r="Q11" s="16">
        <f t="shared" si="10"/>
        <v>16973.124748895138</v>
      </c>
      <c r="R11" s="17">
        <f t="shared" si="11"/>
        <v>1618.5496183206105</v>
      </c>
      <c r="S11" s="17">
        <f t="shared" si="12"/>
        <v>328.56557251908396</v>
      </c>
      <c r="T11" s="24">
        <f>SUM($S$3:S11)</f>
        <v>3445.5443240257136</v>
      </c>
      <c r="U11" s="27">
        <f t="shared" si="13"/>
        <v>54</v>
      </c>
      <c r="V11" s="24">
        <f>SUM($U$3:U11)</f>
        <v>540.1</v>
      </c>
      <c r="W11" s="27">
        <f t="shared" si="14"/>
        <v>29.7</v>
      </c>
      <c r="X11" s="24">
        <f>SUM($W$3:W11)</f>
        <v>297.05499999999995</v>
      </c>
    </row>
    <row r="12" spans="1:25" x14ac:dyDescent="0.25">
      <c r="A12" s="13" t="s">
        <v>30</v>
      </c>
      <c r="B12" s="17">
        <v>2700</v>
      </c>
      <c r="C12" s="16">
        <f t="shared" si="7"/>
        <v>29705</v>
      </c>
      <c r="D12" s="18">
        <v>198</v>
      </c>
      <c r="E12" s="15">
        <f>SUM($D$3:D12)</f>
        <v>1608</v>
      </c>
      <c r="F12" s="14">
        <f t="shared" si="8"/>
        <v>21.833333333333332</v>
      </c>
      <c r="G12" s="15">
        <f>SUM($F$3:F12)</f>
        <v>218.33333333333337</v>
      </c>
      <c r="H12" s="14">
        <f t="shared" si="9"/>
        <v>1659.3333333333335</v>
      </c>
      <c r="I12" s="25">
        <f t="shared" si="0"/>
        <v>1608</v>
      </c>
      <c r="J12" s="15">
        <f>I12*Parameters!$B$13</f>
        <v>46217.886701486546</v>
      </c>
      <c r="K12" s="26">
        <f t="shared" si="1"/>
        <v>29705</v>
      </c>
      <c r="L12" s="16">
        <f t="shared" si="2"/>
        <v>88920.494174367224</v>
      </c>
      <c r="M12" s="26">
        <f t="shared" si="3"/>
        <v>29705</v>
      </c>
      <c r="N12" s="16">
        <f t="shared" si="4"/>
        <v>46217.886701486546</v>
      </c>
      <c r="O12" s="26">
        <f t="shared" si="5"/>
        <v>29705</v>
      </c>
      <c r="P12" s="16">
        <f t="shared" si="6"/>
        <v>11440.606669345119</v>
      </c>
      <c r="Q12" s="16">
        <f t="shared" si="10"/>
        <v>18264.393330654879</v>
      </c>
      <c r="R12" s="17">
        <f t="shared" si="11"/>
        <v>1291.2685817597412</v>
      </c>
      <c r="S12" s="17">
        <f t="shared" si="12"/>
        <v>262.12752209722748</v>
      </c>
      <c r="T12" s="24">
        <f>SUM($S$3:S12)</f>
        <v>3707.6718461229411</v>
      </c>
      <c r="U12" s="27">
        <f t="shared" si="13"/>
        <v>54</v>
      </c>
      <c r="V12" s="24">
        <f>SUM($U$3:U12)</f>
        <v>594.1</v>
      </c>
      <c r="W12" s="27">
        <f t="shared" si="14"/>
        <v>29.7</v>
      </c>
      <c r="X12" s="24">
        <f>SUM($W$3:W12)</f>
        <v>326.75499999999994</v>
      </c>
    </row>
    <row r="13" spans="1:25" x14ac:dyDescent="0.25">
      <c r="A13" s="13" t="s">
        <v>31</v>
      </c>
      <c r="B13" s="17">
        <v>2700</v>
      </c>
      <c r="C13" s="16">
        <f t="shared" si="7"/>
        <v>32405</v>
      </c>
      <c r="D13" s="18">
        <v>198</v>
      </c>
      <c r="E13" s="15">
        <f>SUM($D$3:D13)</f>
        <v>1806</v>
      </c>
      <c r="F13" s="14">
        <f t="shared" si="8"/>
        <v>21.833333333333332</v>
      </c>
      <c r="G13" s="15">
        <f>SUM($F$3:F13)</f>
        <v>240.16666666666671</v>
      </c>
      <c r="H13" s="14">
        <f t="shared" si="9"/>
        <v>1825.2666666666669</v>
      </c>
      <c r="I13" s="25">
        <f t="shared" si="0"/>
        <v>1806</v>
      </c>
      <c r="J13" s="15">
        <f>I13*Parameters!$B$13</f>
        <v>51908.895138609885</v>
      </c>
      <c r="K13" s="26">
        <f t="shared" si="1"/>
        <v>32405</v>
      </c>
      <c r="L13" s="16">
        <f t="shared" si="2"/>
        <v>99869.659501807953</v>
      </c>
      <c r="M13" s="26">
        <f t="shared" si="3"/>
        <v>32405</v>
      </c>
      <c r="N13" s="16">
        <f t="shared" si="4"/>
        <v>51908.895138609885</v>
      </c>
      <c r="O13" s="26">
        <f t="shared" si="5"/>
        <v>32405</v>
      </c>
      <c r="P13" s="16">
        <f t="shared" si="6"/>
        <v>12849.338087585376</v>
      </c>
      <c r="Q13" s="16">
        <f t="shared" si="10"/>
        <v>19555.661912414624</v>
      </c>
      <c r="R13" s="17">
        <f t="shared" si="11"/>
        <v>1291.2685817597448</v>
      </c>
      <c r="S13" s="17">
        <f t="shared" si="12"/>
        <v>262.12752209722822</v>
      </c>
      <c r="T13" s="24">
        <f>SUM($S$3:S13)</f>
        <v>3969.7993682201695</v>
      </c>
      <c r="U13" s="27">
        <f t="shared" si="13"/>
        <v>54</v>
      </c>
      <c r="V13" s="24">
        <f>SUM($U$3:U13)</f>
        <v>648.1</v>
      </c>
      <c r="W13" s="27">
        <f t="shared" si="14"/>
        <v>29.7</v>
      </c>
      <c r="X13" s="24">
        <f>SUM($W$3:W13)</f>
        <v>356.45499999999993</v>
      </c>
    </row>
    <row r="14" spans="1:25" x14ac:dyDescent="0.25">
      <c r="A14" s="13" t="s">
        <v>32</v>
      </c>
      <c r="B14" s="17">
        <v>5000</v>
      </c>
      <c r="C14" s="16">
        <f t="shared" si="7"/>
        <v>37405</v>
      </c>
      <c r="D14" s="18">
        <v>198</v>
      </c>
      <c r="E14" s="15">
        <f>SUM($D$3:D14)</f>
        <v>2004</v>
      </c>
      <c r="F14" s="14">
        <f t="shared" si="8"/>
        <v>21.833333333333332</v>
      </c>
      <c r="G14" s="15">
        <f>SUM($F$3:F14)</f>
        <v>262.00000000000006</v>
      </c>
      <c r="H14" s="14">
        <f t="shared" si="9"/>
        <v>1991.2000000000003</v>
      </c>
      <c r="I14" s="25">
        <f t="shared" si="0"/>
        <v>1991.2000000000003</v>
      </c>
      <c r="J14" s="15">
        <f>I14*Parameters!$B$13</f>
        <v>57232.000000000015</v>
      </c>
      <c r="K14" s="26">
        <f t="shared" si="1"/>
        <v>37405</v>
      </c>
      <c r="L14" s="16">
        <f t="shared" si="2"/>
        <v>110111.00000000001</v>
      </c>
      <c r="M14" s="26">
        <f t="shared" si="3"/>
        <v>37405</v>
      </c>
      <c r="N14" s="16">
        <f t="shared" si="4"/>
        <v>57232.000000000015</v>
      </c>
      <c r="O14" s="26">
        <f t="shared" si="5"/>
        <v>37405</v>
      </c>
      <c r="P14" s="16">
        <f t="shared" si="6"/>
        <v>14167.000000000004</v>
      </c>
      <c r="Q14" s="16">
        <f t="shared" si="10"/>
        <v>23237.999999999996</v>
      </c>
      <c r="R14" s="17">
        <f t="shared" si="11"/>
        <v>3682.3380875853727</v>
      </c>
      <c r="S14" s="17">
        <f t="shared" si="12"/>
        <v>747.51463177983067</v>
      </c>
      <c r="T14" s="24">
        <f>SUM($S$3:S14)</f>
        <v>4717.3140000000003</v>
      </c>
      <c r="U14" s="27">
        <f t="shared" si="13"/>
        <v>100</v>
      </c>
      <c r="V14" s="24">
        <f>SUM($U$3:U14)</f>
        <v>748.1</v>
      </c>
      <c r="W14" s="27">
        <f t="shared" si="14"/>
        <v>55</v>
      </c>
      <c r="X14" s="24">
        <f>SUM($W$3:W14)</f>
        <v>411.45499999999993</v>
      </c>
    </row>
    <row r="15" spans="1:25" x14ac:dyDescent="0.25">
      <c r="T15" s="3"/>
      <c r="U15" s="3"/>
      <c r="V15" s="3"/>
    </row>
    <row r="16" spans="1:25" s="3" customFormat="1" x14ac:dyDescent="0.25">
      <c r="S16" s="22"/>
    </row>
    <row r="17" spans="1:24" s="3" customFormat="1" x14ac:dyDescent="0.25">
      <c r="A17" s="3" t="s">
        <v>47</v>
      </c>
      <c r="B17" s="3" t="s">
        <v>57</v>
      </c>
      <c r="S17" s="22"/>
    </row>
    <row r="18" spans="1:24" s="20" customFormat="1" ht="51.75" x14ac:dyDescent="0.25">
      <c r="A18" s="19" t="s">
        <v>20</v>
      </c>
      <c r="B18" s="19" t="s">
        <v>0</v>
      </c>
      <c r="C18" s="19" t="s">
        <v>33</v>
      </c>
      <c r="D18" s="19" t="s">
        <v>1</v>
      </c>
      <c r="E18" s="19" t="s">
        <v>35</v>
      </c>
      <c r="F18" s="19" t="s">
        <v>2</v>
      </c>
      <c r="G18" s="19" t="s">
        <v>34</v>
      </c>
      <c r="H18" s="19" t="s">
        <v>43</v>
      </c>
      <c r="I18" s="19" t="s">
        <v>44</v>
      </c>
      <c r="J18" s="19" t="s">
        <v>46</v>
      </c>
      <c r="K18" s="19" t="s">
        <v>41</v>
      </c>
      <c r="L18" s="19" t="s">
        <v>45</v>
      </c>
      <c r="M18" s="19" t="s">
        <v>40</v>
      </c>
      <c r="N18" s="19" t="s">
        <v>38</v>
      </c>
      <c r="O18" s="19" t="s">
        <v>39</v>
      </c>
      <c r="P18" s="19" t="s">
        <v>36</v>
      </c>
      <c r="Q18" s="19" t="s">
        <v>37</v>
      </c>
      <c r="R18" s="19" t="s">
        <v>55</v>
      </c>
      <c r="S18" s="23" t="s">
        <v>49</v>
      </c>
      <c r="T18" s="19" t="s">
        <v>50</v>
      </c>
      <c r="U18" s="23" t="s">
        <v>51</v>
      </c>
      <c r="V18" s="19" t="s">
        <v>52</v>
      </c>
      <c r="W18" s="23" t="s">
        <v>53</v>
      </c>
      <c r="X18" s="19" t="s">
        <v>54</v>
      </c>
    </row>
    <row r="19" spans="1:24" s="3" customFormat="1" x14ac:dyDescent="0.25">
      <c r="A19" s="13" t="s">
        <v>21</v>
      </c>
      <c r="B19" s="17">
        <v>9000</v>
      </c>
      <c r="C19" s="16">
        <f>B19</f>
        <v>9000</v>
      </c>
      <c r="D19" s="18">
        <v>198</v>
      </c>
      <c r="E19" s="15">
        <f>SUM($D$19:D19)</f>
        <v>198</v>
      </c>
      <c r="F19" s="14">
        <f t="shared" ref="F19:F30" si="15">Aantal_SV_dagen_in_het_jaar/12</f>
        <v>21.833333333333332</v>
      </c>
      <c r="G19" s="15">
        <f>SUM($F$19:F19)</f>
        <v>21.833333333333332</v>
      </c>
      <c r="H19" s="14">
        <f>G19*7.6</f>
        <v>165.93333333333331</v>
      </c>
      <c r="I19" s="25">
        <f t="shared" ref="I19:I30" si="16">MIN(H19,E19)</f>
        <v>165.93333333333331</v>
      </c>
      <c r="J19" s="15">
        <f>I19*Parameters!$B$13</f>
        <v>4769.333333333333</v>
      </c>
      <c r="K19" s="26">
        <f t="shared" ref="K19:K30" si="17">MIN(J19,C19)</f>
        <v>4769.333333333333</v>
      </c>
      <c r="L19" s="16">
        <f t="shared" ref="L19:L30" si="18">I19*Max_pensioengev_salaris_per_uur_OP_NP</f>
        <v>9175.9166666666661</v>
      </c>
      <c r="M19" s="26">
        <f t="shared" ref="M19:M30" si="19">MIN(L19,C19)</f>
        <v>9000</v>
      </c>
      <c r="N19" s="16">
        <f t="shared" ref="N19:N30" si="20">I19*Max_pensioengev_salaris_per_uur_VPL</f>
        <v>4769.333333333333</v>
      </c>
      <c r="O19" s="26">
        <f t="shared" ref="O19:O30" si="21">MIN(N19,C19)</f>
        <v>4769.333333333333</v>
      </c>
      <c r="P19" s="16">
        <f t="shared" ref="P19:P30" si="22">I19*Franchise_OP_NP_per_uur</f>
        <v>1180.5833333333333</v>
      </c>
      <c r="Q19" s="16">
        <f>IF(M19-P19&lt;0,0,M19-P19)</f>
        <v>7819.416666666667</v>
      </c>
      <c r="R19" s="17">
        <f>Q19</f>
        <v>7819.416666666667</v>
      </c>
      <c r="S19" s="17">
        <f>Q19*Premie___OP_NP</f>
        <v>1587.3415833333336</v>
      </c>
      <c r="T19" s="24">
        <f>SUM($S$19:S19)</f>
        <v>1587.3415833333336</v>
      </c>
      <c r="U19" s="27">
        <f>O19*Premie___VPL</f>
        <v>95.386666666666656</v>
      </c>
      <c r="V19" s="24">
        <f>SUM($U$19:U19)</f>
        <v>95.386666666666656</v>
      </c>
      <c r="W19" s="27">
        <f>K19*Premie__VOS</f>
        <v>52.462666666666664</v>
      </c>
      <c r="X19" s="24">
        <f>SUM($W$19:W19)</f>
        <v>52.462666666666664</v>
      </c>
    </row>
    <row r="20" spans="1:24" s="3" customFormat="1" x14ac:dyDescent="0.25">
      <c r="A20" s="13" t="s">
        <v>22</v>
      </c>
      <c r="B20" s="17">
        <v>9000</v>
      </c>
      <c r="C20" s="16">
        <f t="shared" ref="C20:C30" si="23">C19+B20</f>
        <v>18000</v>
      </c>
      <c r="D20" s="18">
        <v>140</v>
      </c>
      <c r="E20" s="15">
        <f>SUM($D$19:D20)</f>
        <v>338</v>
      </c>
      <c r="F20" s="14">
        <f t="shared" si="15"/>
        <v>21.833333333333332</v>
      </c>
      <c r="G20" s="15">
        <f>SUM($F$19:F20)</f>
        <v>43.666666666666664</v>
      </c>
      <c r="H20" s="14">
        <f t="shared" ref="H20:H30" si="24">G20*7.6</f>
        <v>331.86666666666662</v>
      </c>
      <c r="I20" s="25">
        <f t="shared" si="16"/>
        <v>331.86666666666662</v>
      </c>
      <c r="J20" s="15">
        <f>I20*Parameters!$B$13</f>
        <v>9538.6666666666661</v>
      </c>
      <c r="K20" s="26">
        <f t="shared" si="17"/>
        <v>9538.6666666666661</v>
      </c>
      <c r="L20" s="16">
        <f t="shared" si="18"/>
        <v>18351.833333333332</v>
      </c>
      <c r="M20" s="26">
        <f t="shared" si="19"/>
        <v>18000</v>
      </c>
      <c r="N20" s="16">
        <f t="shared" si="20"/>
        <v>9538.6666666666661</v>
      </c>
      <c r="O20" s="26">
        <f t="shared" si="21"/>
        <v>9538.6666666666661</v>
      </c>
      <c r="P20" s="16">
        <f t="shared" si="22"/>
        <v>2361.1666666666665</v>
      </c>
      <c r="Q20" s="16">
        <f t="shared" ref="Q20:Q30" si="25">IF(M20-P20&lt;0,0,M20-P20)</f>
        <v>15638.833333333334</v>
      </c>
      <c r="R20" s="17">
        <f>Q20-Q19</f>
        <v>7819.416666666667</v>
      </c>
      <c r="S20" s="17">
        <f t="shared" ref="S20:S30" si="26">(Q20-Q19)*Premie___OP_NP</f>
        <v>1587.3415833333336</v>
      </c>
      <c r="T20" s="24">
        <f>SUM($S$19:S20)</f>
        <v>3174.6831666666671</v>
      </c>
      <c r="U20" s="27">
        <f t="shared" ref="U20:U30" si="27">(O20-O19)*Premie___VPL</f>
        <v>95.386666666666656</v>
      </c>
      <c r="V20" s="24">
        <f>SUM($U$19:U20)</f>
        <v>190.77333333333331</v>
      </c>
      <c r="W20" s="27">
        <f t="shared" ref="W20:W30" si="28">(K20-K19)*Premie__VOS</f>
        <v>52.462666666666664</v>
      </c>
      <c r="X20" s="24">
        <f>SUM($W$19:W20)</f>
        <v>104.92533333333333</v>
      </c>
    </row>
    <row r="21" spans="1:24" s="3" customFormat="1" x14ac:dyDescent="0.25">
      <c r="A21" s="13" t="s">
        <v>23</v>
      </c>
      <c r="B21" s="17">
        <v>9000</v>
      </c>
      <c r="C21" s="16">
        <f t="shared" si="23"/>
        <v>27000</v>
      </c>
      <c r="D21" s="18">
        <v>155</v>
      </c>
      <c r="E21" s="15">
        <f>SUM($D$19:D21)</f>
        <v>493</v>
      </c>
      <c r="F21" s="14">
        <f t="shared" si="15"/>
        <v>21.833333333333332</v>
      </c>
      <c r="G21" s="15">
        <f>SUM($F$19:F21)</f>
        <v>65.5</v>
      </c>
      <c r="H21" s="14">
        <f t="shared" si="24"/>
        <v>497.79999999999995</v>
      </c>
      <c r="I21" s="25">
        <f t="shared" si="16"/>
        <v>493</v>
      </c>
      <c r="J21" s="15">
        <f>I21*Parameters!$B$13</f>
        <v>14170.03615910004</v>
      </c>
      <c r="K21" s="26">
        <f t="shared" si="17"/>
        <v>14170.03615910004</v>
      </c>
      <c r="L21" s="16">
        <f t="shared" si="18"/>
        <v>27262.31568903174</v>
      </c>
      <c r="M21" s="26">
        <f t="shared" si="19"/>
        <v>27000</v>
      </c>
      <c r="N21" s="16">
        <f t="shared" si="20"/>
        <v>14170.03615910004</v>
      </c>
      <c r="O21" s="26">
        <f t="shared" si="21"/>
        <v>14170.03615910004</v>
      </c>
      <c r="P21" s="16">
        <f t="shared" si="22"/>
        <v>3507.5989353153882</v>
      </c>
      <c r="Q21" s="16">
        <f t="shared" si="25"/>
        <v>23492.401064684611</v>
      </c>
      <c r="R21" s="17">
        <f t="shared" ref="R21:R30" si="29">Q21-Q20</f>
        <v>7853.567731351277</v>
      </c>
      <c r="S21" s="17">
        <f t="shared" si="26"/>
        <v>1594.2742494643094</v>
      </c>
      <c r="T21" s="24">
        <f>SUM($S$19:S21)</f>
        <v>4768.9574161309765</v>
      </c>
      <c r="U21" s="27">
        <f t="shared" si="27"/>
        <v>92.627389848667477</v>
      </c>
      <c r="V21" s="24">
        <f>SUM($U$19:U21)</f>
        <v>283.40072318200077</v>
      </c>
      <c r="W21" s="27">
        <f t="shared" si="28"/>
        <v>50.94506441676711</v>
      </c>
      <c r="X21" s="24">
        <f>SUM($W$19:W21)</f>
        <v>155.87039775010044</v>
      </c>
    </row>
    <row r="22" spans="1:24" s="3" customFormat="1" x14ac:dyDescent="0.25">
      <c r="A22" s="13" t="s">
        <v>24</v>
      </c>
      <c r="B22" s="17">
        <v>9000</v>
      </c>
      <c r="C22" s="16">
        <f t="shared" si="23"/>
        <v>36000</v>
      </c>
      <c r="D22" s="18">
        <v>220</v>
      </c>
      <c r="E22" s="15">
        <f>SUM($D$19:D22)</f>
        <v>713</v>
      </c>
      <c r="F22" s="14">
        <f t="shared" si="15"/>
        <v>21.833333333333332</v>
      </c>
      <c r="G22" s="15">
        <f>SUM($F$19:F22)</f>
        <v>87.333333333333329</v>
      </c>
      <c r="H22" s="14">
        <f t="shared" si="24"/>
        <v>663.73333333333323</v>
      </c>
      <c r="I22" s="25">
        <f t="shared" si="16"/>
        <v>663.73333333333323</v>
      </c>
      <c r="J22" s="15">
        <f>I22*Parameters!$B$13</f>
        <v>19077.333333333332</v>
      </c>
      <c r="K22" s="26">
        <f t="shared" si="17"/>
        <v>19077.333333333332</v>
      </c>
      <c r="L22" s="16">
        <f t="shared" si="18"/>
        <v>36703.666666666664</v>
      </c>
      <c r="M22" s="26">
        <f t="shared" si="19"/>
        <v>36000</v>
      </c>
      <c r="N22" s="16">
        <f t="shared" si="20"/>
        <v>19077.333333333332</v>
      </c>
      <c r="O22" s="26">
        <f t="shared" si="21"/>
        <v>19077.333333333332</v>
      </c>
      <c r="P22" s="16">
        <f t="shared" si="22"/>
        <v>4722.333333333333</v>
      </c>
      <c r="Q22" s="16">
        <f t="shared" si="25"/>
        <v>31277.666666666668</v>
      </c>
      <c r="R22" s="17">
        <f t="shared" si="29"/>
        <v>7785.265601982057</v>
      </c>
      <c r="S22" s="17">
        <f t="shared" si="26"/>
        <v>1580.4089172023578</v>
      </c>
      <c r="T22" s="24">
        <f>SUM($S$19:S22)</f>
        <v>6349.3663333333343</v>
      </c>
      <c r="U22" s="27">
        <f t="shared" si="27"/>
        <v>98.14594348466585</v>
      </c>
      <c r="V22" s="24">
        <f>SUM($U$19:U22)</f>
        <v>381.54666666666662</v>
      </c>
      <c r="W22" s="27">
        <f t="shared" si="28"/>
        <v>53.98026891656621</v>
      </c>
      <c r="X22" s="24">
        <f>SUM($W$19:W22)</f>
        <v>209.85066666666665</v>
      </c>
    </row>
    <row r="23" spans="1:24" s="3" customFormat="1" x14ac:dyDescent="0.25">
      <c r="A23" s="13" t="s">
        <v>25</v>
      </c>
      <c r="B23" s="17">
        <v>18000</v>
      </c>
      <c r="C23" s="16">
        <f t="shared" si="23"/>
        <v>54000</v>
      </c>
      <c r="D23" s="18">
        <v>80</v>
      </c>
      <c r="E23" s="15">
        <f>SUM($D$19:D23)</f>
        <v>793</v>
      </c>
      <c r="F23" s="14">
        <f t="shared" si="15"/>
        <v>21.833333333333332</v>
      </c>
      <c r="G23" s="15">
        <f>SUM($F$19:F23)</f>
        <v>109.16666666666666</v>
      </c>
      <c r="H23" s="14">
        <f t="shared" si="24"/>
        <v>829.66666666666652</v>
      </c>
      <c r="I23" s="25">
        <f t="shared" si="16"/>
        <v>793</v>
      </c>
      <c r="J23" s="15">
        <f>I23*Parameters!$B$13</f>
        <v>22792.776215347531</v>
      </c>
      <c r="K23" s="26">
        <f t="shared" si="17"/>
        <v>22792.776215347531</v>
      </c>
      <c r="L23" s="16">
        <f t="shared" si="18"/>
        <v>43851.960124548015</v>
      </c>
      <c r="M23" s="26">
        <f t="shared" si="19"/>
        <v>43851.960124548015</v>
      </c>
      <c r="N23" s="16">
        <f t="shared" si="20"/>
        <v>22792.776215347531</v>
      </c>
      <c r="O23" s="26">
        <f t="shared" si="21"/>
        <v>22792.776215347531</v>
      </c>
      <c r="P23" s="16">
        <f t="shared" si="22"/>
        <v>5642.0404781036568</v>
      </c>
      <c r="Q23" s="16">
        <f t="shared" si="25"/>
        <v>38209.919646444359</v>
      </c>
      <c r="R23" s="17">
        <f t="shared" si="29"/>
        <v>6932.2529797776915</v>
      </c>
      <c r="S23" s="17">
        <f t="shared" si="26"/>
        <v>1407.2473548948715</v>
      </c>
      <c r="T23" s="24">
        <f>SUM($S$19:S23)</f>
        <v>7756.6136882282062</v>
      </c>
      <c r="U23" s="27">
        <f t="shared" si="27"/>
        <v>74.308857640283975</v>
      </c>
      <c r="V23" s="24">
        <f>SUM($U$19:U23)</f>
        <v>455.8555243069506</v>
      </c>
      <c r="W23" s="27">
        <f t="shared" si="28"/>
        <v>40.869871702156182</v>
      </c>
      <c r="X23" s="24">
        <f>SUM($W$19:W23)</f>
        <v>250.72053836882284</v>
      </c>
    </row>
    <row r="24" spans="1:24" s="3" customFormat="1" x14ac:dyDescent="0.25">
      <c r="A24" s="13" t="s">
        <v>26</v>
      </c>
      <c r="B24" s="17">
        <v>9000</v>
      </c>
      <c r="C24" s="16">
        <f t="shared" si="23"/>
        <v>63000</v>
      </c>
      <c r="D24" s="18">
        <v>161</v>
      </c>
      <c r="E24" s="15">
        <f>SUM($D$19:D24)</f>
        <v>954</v>
      </c>
      <c r="F24" s="14">
        <f t="shared" si="15"/>
        <v>21.833333333333332</v>
      </c>
      <c r="G24" s="15">
        <f>SUM($F$19:F24)</f>
        <v>131</v>
      </c>
      <c r="H24" s="14">
        <f t="shared" si="24"/>
        <v>995.59999999999991</v>
      </c>
      <c r="I24" s="25">
        <f t="shared" si="16"/>
        <v>954</v>
      </c>
      <c r="J24" s="15">
        <f>I24*Parameters!$B$13</f>
        <v>27420.313378867017</v>
      </c>
      <c r="K24" s="26">
        <f t="shared" si="17"/>
        <v>27420.313378867017</v>
      </c>
      <c r="L24" s="16">
        <f t="shared" si="18"/>
        <v>52755.069304941746</v>
      </c>
      <c r="M24" s="26">
        <f t="shared" si="19"/>
        <v>52755.069304941746</v>
      </c>
      <c r="N24" s="16">
        <f t="shared" si="20"/>
        <v>27420.313378867017</v>
      </c>
      <c r="O24" s="26">
        <f t="shared" si="21"/>
        <v>27420.313378867017</v>
      </c>
      <c r="P24" s="16">
        <f t="shared" si="22"/>
        <v>6787.524106066694</v>
      </c>
      <c r="Q24" s="16">
        <f t="shared" si="25"/>
        <v>45967.54519887505</v>
      </c>
      <c r="R24" s="17">
        <f t="shared" si="29"/>
        <v>7757.6255524306907</v>
      </c>
      <c r="S24" s="17">
        <f t="shared" si="26"/>
        <v>1574.7979871434304</v>
      </c>
      <c r="T24" s="24">
        <f>SUM($S$19:S24)</f>
        <v>9331.4116753716371</v>
      </c>
      <c r="U24" s="27">
        <f t="shared" si="27"/>
        <v>92.550743270389717</v>
      </c>
      <c r="V24" s="24">
        <f>SUM($U$19:U24)</f>
        <v>548.40626757734026</v>
      </c>
      <c r="W24" s="27">
        <f t="shared" si="28"/>
        <v>50.902908798714343</v>
      </c>
      <c r="X24" s="24">
        <f>SUM($W$19:W24)</f>
        <v>301.62344716753717</v>
      </c>
    </row>
    <row r="25" spans="1:24" s="3" customFormat="1" x14ac:dyDescent="0.25">
      <c r="A25" s="13" t="s">
        <v>27</v>
      </c>
      <c r="B25" s="17">
        <v>9000</v>
      </c>
      <c r="C25" s="16">
        <f t="shared" si="23"/>
        <v>72000</v>
      </c>
      <c r="D25" s="18">
        <v>152</v>
      </c>
      <c r="E25" s="15">
        <f>SUM($D$19:D25)</f>
        <v>1106</v>
      </c>
      <c r="F25" s="14">
        <f t="shared" si="15"/>
        <v>21.833333333333332</v>
      </c>
      <c r="G25" s="15">
        <f>SUM($F$19:F25)</f>
        <v>152.83333333333334</v>
      </c>
      <c r="H25" s="14">
        <f t="shared" si="24"/>
        <v>1161.5333333333333</v>
      </c>
      <c r="I25" s="25">
        <f t="shared" si="16"/>
        <v>1106</v>
      </c>
      <c r="J25" s="15">
        <f>I25*Parameters!$B$13</f>
        <v>31789.168340699078</v>
      </c>
      <c r="K25" s="26">
        <f t="shared" si="17"/>
        <v>31789.168340699078</v>
      </c>
      <c r="L25" s="16">
        <f t="shared" si="18"/>
        <v>61160.489152269991</v>
      </c>
      <c r="M25" s="26">
        <f t="shared" si="19"/>
        <v>61160.489152269991</v>
      </c>
      <c r="N25" s="16">
        <f t="shared" si="20"/>
        <v>31789.168340699078</v>
      </c>
      <c r="O25" s="26">
        <f t="shared" si="21"/>
        <v>31789.168340699078</v>
      </c>
      <c r="P25" s="16">
        <f t="shared" si="22"/>
        <v>7868.9744877460835</v>
      </c>
      <c r="Q25" s="16">
        <f t="shared" si="25"/>
        <v>53291.514664523907</v>
      </c>
      <c r="R25" s="17">
        <f t="shared" si="29"/>
        <v>7323.9694656488573</v>
      </c>
      <c r="S25" s="17">
        <f t="shared" si="26"/>
        <v>1486.7658015267182</v>
      </c>
      <c r="T25" s="24">
        <f>SUM($S$19:S25)</f>
        <v>10818.177476898356</v>
      </c>
      <c r="U25" s="27">
        <f t="shared" si="27"/>
        <v>87.377099236641229</v>
      </c>
      <c r="V25" s="24">
        <f>SUM($U$19:U25)</f>
        <v>635.7833668139815</v>
      </c>
      <c r="W25" s="27">
        <f t="shared" si="28"/>
        <v>48.057404580152671</v>
      </c>
      <c r="X25" s="24">
        <f>SUM($W$19:W25)</f>
        <v>349.68085174768981</v>
      </c>
    </row>
    <row r="26" spans="1:24" s="3" customFormat="1" x14ac:dyDescent="0.25">
      <c r="A26" s="13" t="s">
        <v>28</v>
      </c>
      <c r="B26" s="17">
        <v>9000</v>
      </c>
      <c r="C26" s="16">
        <f t="shared" si="23"/>
        <v>81000</v>
      </c>
      <c r="D26" s="18">
        <v>152</v>
      </c>
      <c r="E26" s="15">
        <f>SUM($D$19:D26)</f>
        <v>1258</v>
      </c>
      <c r="F26" s="14">
        <f t="shared" si="15"/>
        <v>21.833333333333332</v>
      </c>
      <c r="G26" s="15">
        <f>SUM($F$19:F26)</f>
        <v>174.66666666666669</v>
      </c>
      <c r="H26" s="14">
        <f t="shared" si="24"/>
        <v>1327.4666666666667</v>
      </c>
      <c r="I26" s="25">
        <f t="shared" si="16"/>
        <v>1258</v>
      </c>
      <c r="J26" s="15">
        <f>I26*Parameters!$B$13</f>
        <v>36158.023302531139</v>
      </c>
      <c r="K26" s="26">
        <f t="shared" si="17"/>
        <v>36158.023302531139</v>
      </c>
      <c r="L26" s="16">
        <f t="shared" si="18"/>
        <v>69565.908999598236</v>
      </c>
      <c r="M26" s="26">
        <f t="shared" si="19"/>
        <v>69565.908999598236</v>
      </c>
      <c r="N26" s="16">
        <f t="shared" si="20"/>
        <v>36158.023302531139</v>
      </c>
      <c r="O26" s="26">
        <f t="shared" si="21"/>
        <v>36158.023302531139</v>
      </c>
      <c r="P26" s="16">
        <f t="shared" si="22"/>
        <v>8950.4248694254729</v>
      </c>
      <c r="Q26" s="16">
        <f t="shared" si="25"/>
        <v>60615.484130172765</v>
      </c>
      <c r="R26" s="17">
        <f t="shared" si="29"/>
        <v>7323.9694656488573</v>
      </c>
      <c r="S26" s="17">
        <f t="shared" si="26"/>
        <v>1486.7658015267182</v>
      </c>
      <c r="T26" s="24">
        <f>SUM($S$19:S26)</f>
        <v>12304.943278425075</v>
      </c>
      <c r="U26" s="27">
        <f t="shared" si="27"/>
        <v>87.377099236641229</v>
      </c>
      <c r="V26" s="24">
        <f>SUM($U$19:U26)</f>
        <v>723.16046605062274</v>
      </c>
      <c r="W26" s="27">
        <f t="shared" si="28"/>
        <v>48.057404580152671</v>
      </c>
      <c r="X26" s="24">
        <f>SUM($W$19:W26)</f>
        <v>397.73825632784246</v>
      </c>
    </row>
    <row r="27" spans="1:24" s="3" customFormat="1" x14ac:dyDescent="0.25">
      <c r="A27" s="13" t="s">
        <v>29</v>
      </c>
      <c r="B27" s="17">
        <v>9000</v>
      </c>
      <c r="C27" s="16">
        <f t="shared" si="23"/>
        <v>90000</v>
      </c>
      <c r="D27" s="18">
        <v>152</v>
      </c>
      <c r="E27" s="15">
        <f>SUM($D$19:D27)</f>
        <v>1410</v>
      </c>
      <c r="F27" s="14">
        <f t="shared" si="15"/>
        <v>21.833333333333332</v>
      </c>
      <c r="G27" s="15">
        <f>SUM($F$19:F27)</f>
        <v>196.50000000000003</v>
      </c>
      <c r="H27" s="14">
        <f t="shared" si="24"/>
        <v>1493.4</v>
      </c>
      <c r="I27" s="25">
        <f t="shared" si="16"/>
        <v>1410</v>
      </c>
      <c r="J27" s="15">
        <f>I27*Parameters!$B$13</f>
        <v>40526.8782643632</v>
      </c>
      <c r="K27" s="26">
        <f t="shared" si="17"/>
        <v>40526.8782643632</v>
      </c>
      <c r="L27" s="16">
        <f t="shared" si="18"/>
        <v>77971.328846926481</v>
      </c>
      <c r="M27" s="26">
        <f t="shared" si="19"/>
        <v>77971.328846926481</v>
      </c>
      <c r="N27" s="16">
        <f t="shared" si="20"/>
        <v>40526.8782643632</v>
      </c>
      <c r="O27" s="26">
        <f t="shared" si="21"/>
        <v>40526.8782643632</v>
      </c>
      <c r="P27" s="16">
        <f t="shared" si="22"/>
        <v>10031.875251104862</v>
      </c>
      <c r="Q27" s="16">
        <f t="shared" si="25"/>
        <v>67939.453595821615</v>
      </c>
      <c r="R27" s="17">
        <f t="shared" si="29"/>
        <v>7323.96946564885</v>
      </c>
      <c r="S27" s="17">
        <f t="shared" si="26"/>
        <v>1486.7658015267166</v>
      </c>
      <c r="T27" s="24">
        <f>SUM($S$19:S27)</f>
        <v>13791.709079951792</v>
      </c>
      <c r="U27" s="27">
        <f t="shared" si="27"/>
        <v>87.377099236641229</v>
      </c>
      <c r="V27" s="24">
        <f>SUM($U$19:U27)</f>
        <v>810.53756528726399</v>
      </c>
      <c r="W27" s="27">
        <f t="shared" si="28"/>
        <v>48.057404580152671</v>
      </c>
      <c r="X27" s="24">
        <f>SUM($W$19:W27)</f>
        <v>445.79566090799511</v>
      </c>
    </row>
    <row r="28" spans="1:24" s="3" customFormat="1" x14ac:dyDescent="0.25">
      <c r="A28" s="13" t="s">
        <v>30</v>
      </c>
      <c r="B28" s="17">
        <v>9000</v>
      </c>
      <c r="C28" s="16">
        <f t="shared" si="23"/>
        <v>99000</v>
      </c>
      <c r="D28" s="18">
        <v>198</v>
      </c>
      <c r="E28" s="15">
        <f>SUM($D$19:D28)</f>
        <v>1608</v>
      </c>
      <c r="F28" s="14">
        <f t="shared" si="15"/>
        <v>21.833333333333332</v>
      </c>
      <c r="G28" s="15">
        <f>SUM($F$19:F28)</f>
        <v>218.33333333333337</v>
      </c>
      <c r="H28" s="14">
        <f t="shared" si="24"/>
        <v>1659.3333333333335</v>
      </c>
      <c r="I28" s="25">
        <f t="shared" si="16"/>
        <v>1608</v>
      </c>
      <c r="J28" s="15">
        <f>I28*Parameters!$B$13</f>
        <v>46217.886701486546</v>
      </c>
      <c r="K28" s="26">
        <f t="shared" si="17"/>
        <v>46217.886701486546</v>
      </c>
      <c r="L28" s="16">
        <f t="shared" si="18"/>
        <v>88920.494174367224</v>
      </c>
      <c r="M28" s="26">
        <f t="shared" si="19"/>
        <v>88920.494174367224</v>
      </c>
      <c r="N28" s="16">
        <f t="shared" si="20"/>
        <v>46217.886701486546</v>
      </c>
      <c r="O28" s="26">
        <f t="shared" si="21"/>
        <v>46217.886701486546</v>
      </c>
      <c r="P28" s="16">
        <f t="shared" si="22"/>
        <v>11440.606669345119</v>
      </c>
      <c r="Q28" s="16">
        <f t="shared" si="25"/>
        <v>77479.88750502211</v>
      </c>
      <c r="R28" s="17">
        <f t="shared" si="29"/>
        <v>9540.4339092004957</v>
      </c>
      <c r="S28" s="17">
        <f t="shared" si="26"/>
        <v>1936.7080835677007</v>
      </c>
      <c r="T28" s="24">
        <f>SUM($S$19:S28)</f>
        <v>15728.417163519493</v>
      </c>
      <c r="U28" s="27">
        <f t="shared" si="27"/>
        <v>113.82016874246692</v>
      </c>
      <c r="V28" s="24">
        <f>SUM($U$19:U28)</f>
        <v>924.35773402973086</v>
      </c>
      <c r="W28" s="27">
        <f t="shared" si="28"/>
        <v>62.601092808356803</v>
      </c>
      <c r="X28" s="24">
        <f>SUM($W$19:W28)</f>
        <v>508.3967537163519</v>
      </c>
    </row>
    <row r="29" spans="1:24" x14ac:dyDescent="0.25">
      <c r="A29" s="13" t="s">
        <v>31</v>
      </c>
      <c r="B29" s="17">
        <v>9000</v>
      </c>
      <c r="C29" s="16">
        <f t="shared" si="23"/>
        <v>108000</v>
      </c>
      <c r="D29" s="18">
        <v>198</v>
      </c>
      <c r="E29" s="15">
        <f>SUM($D$19:D29)</f>
        <v>1806</v>
      </c>
      <c r="F29" s="14">
        <f t="shared" si="15"/>
        <v>21.833333333333332</v>
      </c>
      <c r="G29" s="15">
        <f>SUM($F$19:F29)</f>
        <v>240.16666666666671</v>
      </c>
      <c r="H29" s="14">
        <f t="shared" si="24"/>
        <v>1825.2666666666669</v>
      </c>
      <c r="I29" s="25">
        <f t="shared" si="16"/>
        <v>1806</v>
      </c>
      <c r="J29" s="15">
        <f>I29*Parameters!$B$13</f>
        <v>51908.895138609885</v>
      </c>
      <c r="K29" s="26">
        <f t="shared" si="17"/>
        <v>51908.895138609885</v>
      </c>
      <c r="L29" s="16">
        <f t="shared" si="18"/>
        <v>99869.659501807953</v>
      </c>
      <c r="M29" s="26">
        <f t="shared" si="19"/>
        <v>99869.659501807953</v>
      </c>
      <c r="N29" s="16">
        <f t="shared" si="20"/>
        <v>51908.895138609885</v>
      </c>
      <c r="O29" s="26">
        <f t="shared" si="21"/>
        <v>51908.895138609885</v>
      </c>
      <c r="P29" s="16">
        <f t="shared" si="22"/>
        <v>12849.338087585376</v>
      </c>
      <c r="Q29" s="16">
        <f t="shared" si="25"/>
        <v>87020.321414222577</v>
      </c>
      <c r="R29" s="17">
        <f t="shared" si="29"/>
        <v>9540.4339092004666</v>
      </c>
      <c r="S29" s="17">
        <f t="shared" si="26"/>
        <v>1936.7080835676948</v>
      </c>
      <c r="T29" s="24">
        <f>SUM($S$19:S29)</f>
        <v>17665.125247087188</v>
      </c>
      <c r="U29" s="27">
        <f t="shared" si="27"/>
        <v>113.82016874246678</v>
      </c>
      <c r="V29" s="24">
        <f>SUM($U$19:U29)</f>
        <v>1038.1779027721977</v>
      </c>
      <c r="W29" s="27">
        <f t="shared" si="28"/>
        <v>62.601092808356725</v>
      </c>
      <c r="X29" s="24">
        <f>SUM($W$19:W29)</f>
        <v>570.99784652470862</v>
      </c>
    </row>
    <row r="30" spans="1:24" x14ac:dyDescent="0.25">
      <c r="A30" s="13" t="s">
        <v>32</v>
      </c>
      <c r="B30" s="17">
        <v>9000</v>
      </c>
      <c r="C30" s="16">
        <f t="shared" si="23"/>
        <v>117000</v>
      </c>
      <c r="D30" s="18">
        <v>198</v>
      </c>
      <c r="E30" s="15">
        <f>SUM($D$19:D30)</f>
        <v>2004</v>
      </c>
      <c r="F30" s="14">
        <f t="shared" si="15"/>
        <v>21.833333333333332</v>
      </c>
      <c r="G30" s="15">
        <f>SUM($F$19:F30)</f>
        <v>262.00000000000006</v>
      </c>
      <c r="H30" s="14">
        <f t="shared" si="24"/>
        <v>1991.2000000000003</v>
      </c>
      <c r="I30" s="25">
        <f t="shared" si="16"/>
        <v>1991.2000000000003</v>
      </c>
      <c r="J30" s="15">
        <f>I30*Parameters!$B$13</f>
        <v>57232.000000000015</v>
      </c>
      <c r="K30" s="26">
        <f t="shared" si="17"/>
        <v>57232.000000000015</v>
      </c>
      <c r="L30" s="16">
        <f t="shared" si="18"/>
        <v>110111.00000000001</v>
      </c>
      <c r="M30" s="26">
        <f t="shared" si="19"/>
        <v>110111.00000000001</v>
      </c>
      <c r="N30" s="16">
        <f t="shared" si="20"/>
        <v>57232.000000000015</v>
      </c>
      <c r="O30" s="26">
        <f t="shared" si="21"/>
        <v>57232.000000000015</v>
      </c>
      <c r="P30" s="16">
        <f t="shared" si="22"/>
        <v>14167.000000000004</v>
      </c>
      <c r="Q30" s="16">
        <f t="shared" si="25"/>
        <v>95944.000000000015</v>
      </c>
      <c r="R30" s="17">
        <f t="shared" si="29"/>
        <v>8923.6785857774375</v>
      </c>
      <c r="S30" s="17">
        <f t="shared" si="26"/>
        <v>1811.50675291282</v>
      </c>
      <c r="T30" s="24">
        <f>SUM($S$19:S30)</f>
        <v>19476.632000000009</v>
      </c>
      <c r="U30" s="27">
        <f t="shared" si="27"/>
        <v>106.46209722780259</v>
      </c>
      <c r="V30" s="24">
        <f>SUM($U$19:U30)</f>
        <v>1144.6400000000003</v>
      </c>
      <c r="W30" s="27">
        <f t="shared" si="28"/>
        <v>58.554153475291422</v>
      </c>
      <c r="X30" s="24">
        <f>SUM($W$19:W30)</f>
        <v>629.55200000000002</v>
      </c>
    </row>
    <row r="32" spans="1:24" s="3" customFormat="1" x14ac:dyDescent="0.25">
      <c r="S32" s="22"/>
    </row>
    <row r="33" spans="1:24" s="3" customFormat="1" x14ac:dyDescent="0.25">
      <c r="A33" s="3" t="s">
        <v>48</v>
      </c>
      <c r="S33" s="22"/>
    </row>
    <row r="34" spans="1:24" s="20" customFormat="1" ht="51.75" x14ac:dyDescent="0.25">
      <c r="A34" s="19" t="s">
        <v>20</v>
      </c>
      <c r="B34" s="19" t="s">
        <v>0</v>
      </c>
      <c r="C34" s="19" t="s">
        <v>33</v>
      </c>
      <c r="D34" s="19" t="s">
        <v>1</v>
      </c>
      <c r="E34" s="19" t="s">
        <v>35</v>
      </c>
      <c r="F34" s="19" t="s">
        <v>2</v>
      </c>
      <c r="G34" s="19" t="s">
        <v>34</v>
      </c>
      <c r="H34" s="19" t="s">
        <v>43</v>
      </c>
      <c r="I34" s="19" t="s">
        <v>44</v>
      </c>
      <c r="J34" s="19" t="s">
        <v>46</v>
      </c>
      <c r="K34" s="19" t="s">
        <v>41</v>
      </c>
      <c r="L34" s="19" t="s">
        <v>45</v>
      </c>
      <c r="M34" s="19" t="s">
        <v>40</v>
      </c>
      <c r="N34" s="19" t="s">
        <v>38</v>
      </c>
      <c r="O34" s="19" t="s">
        <v>39</v>
      </c>
      <c r="P34" s="19" t="s">
        <v>36</v>
      </c>
      <c r="Q34" s="19" t="s">
        <v>37</v>
      </c>
      <c r="R34" s="19" t="s">
        <v>55</v>
      </c>
      <c r="S34" s="23" t="s">
        <v>49</v>
      </c>
      <c r="T34" s="19" t="s">
        <v>50</v>
      </c>
      <c r="U34" s="23" t="s">
        <v>51</v>
      </c>
      <c r="V34" s="19" t="s">
        <v>52</v>
      </c>
      <c r="W34" s="23" t="s">
        <v>53</v>
      </c>
      <c r="X34" s="19" t="s">
        <v>54</v>
      </c>
    </row>
    <row r="35" spans="1:24" x14ac:dyDescent="0.25">
      <c r="A35" s="13" t="s">
        <v>21</v>
      </c>
      <c r="B35" s="17">
        <v>1300</v>
      </c>
      <c r="C35" s="16">
        <f>B35</f>
        <v>1300</v>
      </c>
      <c r="D35" s="18">
        <v>110</v>
      </c>
      <c r="E35" s="15">
        <f>SUM($D$35:D35)</f>
        <v>110</v>
      </c>
      <c r="F35" s="14">
        <f t="shared" ref="F35:F46" si="30">Aantal_SV_dagen_in_het_jaar/12</f>
        <v>21.833333333333332</v>
      </c>
      <c r="G35" s="15">
        <f>SUM($F$35:F35)</f>
        <v>21.833333333333332</v>
      </c>
      <c r="H35" s="14">
        <f>G35*7.6</f>
        <v>165.93333333333331</v>
      </c>
      <c r="I35" s="25">
        <f t="shared" ref="I35:I46" si="31">MIN(H35,E35)</f>
        <v>110</v>
      </c>
      <c r="J35" s="15">
        <f>I35*Parameters!$B$13</f>
        <v>3161.671353957413</v>
      </c>
      <c r="K35" s="26">
        <f t="shared" ref="K35:K46" si="32">MIN(J35,C35)</f>
        <v>1300</v>
      </c>
      <c r="L35" s="16">
        <f t="shared" ref="L35:L46" si="33">I35*Max_pensioengev_salaris_per_uur_OP_NP</f>
        <v>6082.8696263559668</v>
      </c>
      <c r="M35" s="26">
        <f t="shared" ref="M35:M46" si="34">MIN(L35,C35)</f>
        <v>1300</v>
      </c>
      <c r="N35" s="16">
        <f t="shared" ref="N35:N46" si="35">I35*Max_pensioengev_salaris_per_uur_VPL</f>
        <v>3161.671353957413</v>
      </c>
      <c r="O35" s="26">
        <f t="shared" ref="O35:O46" si="36">MIN(N35,C35)</f>
        <v>1300</v>
      </c>
      <c r="P35" s="16">
        <f t="shared" ref="P35:P46" si="37">I35*Franchise_OP_NP_per_uur</f>
        <v>782.6285656890318</v>
      </c>
      <c r="Q35" s="16">
        <f>IF(M35-P35&lt;0,0,M35-P35)</f>
        <v>517.3714343109682</v>
      </c>
      <c r="R35" s="17">
        <f>Q35</f>
        <v>517.3714343109682</v>
      </c>
      <c r="S35" s="17">
        <f>Q35*Premie___OP_NP</f>
        <v>105.02640116512656</v>
      </c>
      <c r="T35" s="24">
        <f>SUM($S$35:S35)</f>
        <v>105.02640116512656</v>
      </c>
      <c r="U35" s="27">
        <f>O35*Premie___VPL</f>
        <v>26</v>
      </c>
      <c r="V35" s="24">
        <f>SUM($U$35:U35)</f>
        <v>26</v>
      </c>
      <c r="W35" s="27">
        <f>K35*Premie__VOS</f>
        <v>14.299999999999999</v>
      </c>
      <c r="X35" s="24">
        <f>SUM($W$35:W35)</f>
        <v>14.299999999999999</v>
      </c>
    </row>
    <row r="36" spans="1:24" x14ac:dyDescent="0.25">
      <c r="A36" s="13" t="s">
        <v>22</v>
      </c>
      <c r="B36" s="17">
        <v>1200</v>
      </c>
      <c r="C36" s="16">
        <f t="shared" ref="C36:C46" si="38">C35+B36</f>
        <v>2500</v>
      </c>
      <c r="D36" s="18">
        <v>90</v>
      </c>
      <c r="E36" s="15">
        <f>SUM($D$35:D36)</f>
        <v>200</v>
      </c>
      <c r="F36" s="14">
        <f t="shared" si="30"/>
        <v>21.833333333333332</v>
      </c>
      <c r="G36" s="15">
        <f>SUM($F$35:F36)</f>
        <v>43.666666666666664</v>
      </c>
      <c r="H36" s="14">
        <f t="shared" ref="H36:H46" si="39">G36*7.6</f>
        <v>331.86666666666662</v>
      </c>
      <c r="I36" s="25">
        <f t="shared" si="31"/>
        <v>200</v>
      </c>
      <c r="J36" s="15">
        <f>I36*Parameters!$B$13</f>
        <v>5748.4933708316594</v>
      </c>
      <c r="K36" s="26">
        <f t="shared" si="32"/>
        <v>2500</v>
      </c>
      <c r="L36" s="16">
        <f t="shared" si="33"/>
        <v>11059.762957010847</v>
      </c>
      <c r="M36" s="26">
        <f t="shared" si="34"/>
        <v>2500</v>
      </c>
      <c r="N36" s="16">
        <f t="shared" si="35"/>
        <v>5748.4933708316594</v>
      </c>
      <c r="O36" s="26">
        <f t="shared" si="36"/>
        <v>2500</v>
      </c>
      <c r="P36" s="16">
        <f t="shared" si="37"/>
        <v>1422.9610285255123</v>
      </c>
      <c r="Q36" s="16">
        <f t="shared" ref="Q36:Q46" si="40">IF(M36-P36&lt;0,0,M36-P36)</f>
        <v>1077.0389714744877</v>
      </c>
      <c r="R36" s="17">
        <f>Q36-Q35</f>
        <v>559.66753716351946</v>
      </c>
      <c r="S36" s="17">
        <f t="shared" ref="S36:S47" si="41">(Q36-Q35)*Premie___OP_NP</f>
        <v>113.61251004419445</v>
      </c>
      <c r="T36" s="24">
        <f>SUM($S$35:S36)</f>
        <v>218.63891120932101</v>
      </c>
      <c r="U36" s="27">
        <f t="shared" ref="U36:U46" si="42">(O36-O35)*Premie___VPL</f>
        <v>24</v>
      </c>
      <c r="V36" s="24">
        <f>SUM($U$35:U36)</f>
        <v>50</v>
      </c>
      <c r="W36" s="27">
        <f t="shared" ref="W36:W46" si="43">(K36-K35)*Premie__VOS</f>
        <v>13.2</v>
      </c>
      <c r="X36" s="24">
        <f>SUM($W$35:W36)</f>
        <v>27.5</v>
      </c>
    </row>
    <row r="37" spans="1:24" x14ac:dyDescent="0.25">
      <c r="A37" s="13" t="s">
        <v>23</v>
      </c>
      <c r="B37" s="17">
        <v>1200</v>
      </c>
      <c r="C37" s="16">
        <f t="shared" si="38"/>
        <v>3700</v>
      </c>
      <c r="D37" s="18">
        <v>110</v>
      </c>
      <c r="E37" s="15">
        <f>SUM($D$35:D37)</f>
        <v>310</v>
      </c>
      <c r="F37" s="14">
        <f t="shared" si="30"/>
        <v>21.833333333333332</v>
      </c>
      <c r="G37" s="15">
        <f>SUM($F$35:F37)</f>
        <v>65.5</v>
      </c>
      <c r="H37" s="14">
        <f t="shared" si="39"/>
        <v>497.79999999999995</v>
      </c>
      <c r="I37" s="25">
        <f t="shared" si="31"/>
        <v>310</v>
      </c>
      <c r="J37" s="15">
        <f>I37*Parameters!$B$13</f>
        <v>8910.1647247890724</v>
      </c>
      <c r="K37" s="26">
        <f t="shared" si="32"/>
        <v>3700</v>
      </c>
      <c r="L37" s="16">
        <f t="shared" si="33"/>
        <v>17142.632583366816</v>
      </c>
      <c r="M37" s="26">
        <f t="shared" si="34"/>
        <v>3700</v>
      </c>
      <c r="N37" s="16">
        <f t="shared" si="35"/>
        <v>8910.1647247890724</v>
      </c>
      <c r="O37" s="26">
        <f t="shared" si="36"/>
        <v>3700</v>
      </c>
      <c r="P37" s="16">
        <f t="shared" si="37"/>
        <v>2205.5895942145444</v>
      </c>
      <c r="Q37" s="16">
        <f t="shared" si="40"/>
        <v>1494.4104057854556</v>
      </c>
      <c r="R37" s="17">
        <f t="shared" ref="R37:R46" si="44">Q37-Q36</f>
        <v>417.37143431096797</v>
      </c>
      <c r="S37" s="17">
        <f t="shared" si="41"/>
        <v>84.726401165126504</v>
      </c>
      <c r="T37" s="24">
        <f>SUM($S$35:S37)</f>
        <v>303.36531237444751</v>
      </c>
      <c r="U37" s="27">
        <f t="shared" si="42"/>
        <v>24</v>
      </c>
      <c r="V37" s="24">
        <f>SUM($U$35:U37)</f>
        <v>74</v>
      </c>
      <c r="W37" s="27">
        <f t="shared" si="43"/>
        <v>13.2</v>
      </c>
      <c r="X37" s="24">
        <f>SUM($W$35:W37)</f>
        <v>40.700000000000003</v>
      </c>
    </row>
    <row r="38" spans="1:24" x14ac:dyDescent="0.25">
      <c r="A38" s="13" t="s">
        <v>24</v>
      </c>
      <c r="B38" s="17">
        <v>1500</v>
      </c>
      <c r="C38" s="16">
        <f t="shared" si="38"/>
        <v>5200</v>
      </c>
      <c r="D38" s="18">
        <v>100</v>
      </c>
      <c r="E38" s="15">
        <f>SUM($D$35:D38)</f>
        <v>410</v>
      </c>
      <c r="F38" s="14">
        <f t="shared" si="30"/>
        <v>21.833333333333332</v>
      </c>
      <c r="G38" s="15">
        <f>SUM($F$35:F38)</f>
        <v>87.333333333333329</v>
      </c>
      <c r="H38" s="14">
        <f t="shared" si="39"/>
        <v>663.73333333333323</v>
      </c>
      <c r="I38" s="25">
        <f t="shared" si="31"/>
        <v>410</v>
      </c>
      <c r="J38" s="15">
        <f>I38*Parameters!$B$13</f>
        <v>11784.411410204902</v>
      </c>
      <c r="K38" s="26">
        <f t="shared" si="32"/>
        <v>5200</v>
      </c>
      <c r="L38" s="16">
        <f t="shared" si="33"/>
        <v>22672.51406187224</v>
      </c>
      <c r="M38" s="26">
        <f t="shared" si="34"/>
        <v>5200</v>
      </c>
      <c r="N38" s="16">
        <f t="shared" si="35"/>
        <v>11784.411410204902</v>
      </c>
      <c r="O38" s="26">
        <f t="shared" si="36"/>
        <v>5200</v>
      </c>
      <c r="P38" s="16">
        <f t="shared" si="37"/>
        <v>2917.0701084773004</v>
      </c>
      <c r="Q38" s="16">
        <f t="shared" si="40"/>
        <v>2282.9298915226996</v>
      </c>
      <c r="R38" s="17">
        <f t="shared" si="44"/>
        <v>788.51948573724394</v>
      </c>
      <c r="S38" s="17">
        <f t="shared" si="41"/>
        <v>160.06945560466053</v>
      </c>
      <c r="T38" s="24">
        <f>SUM($S$35:S38)</f>
        <v>463.43476797910807</v>
      </c>
      <c r="U38" s="27">
        <f t="shared" si="42"/>
        <v>30</v>
      </c>
      <c r="V38" s="24">
        <f>SUM($U$35:U38)</f>
        <v>104</v>
      </c>
      <c r="W38" s="27">
        <f t="shared" si="43"/>
        <v>16.5</v>
      </c>
      <c r="X38" s="24">
        <f>SUM($W$35:W38)</f>
        <v>57.2</v>
      </c>
    </row>
    <row r="39" spans="1:24" x14ac:dyDescent="0.25">
      <c r="A39" s="13" t="s">
        <v>25</v>
      </c>
      <c r="B39" s="17">
        <v>2700</v>
      </c>
      <c r="C39" s="16">
        <f t="shared" si="38"/>
        <v>7900</v>
      </c>
      <c r="D39" s="18">
        <v>120</v>
      </c>
      <c r="E39" s="15">
        <f>SUM($D$35:D39)</f>
        <v>530</v>
      </c>
      <c r="F39" s="14">
        <f t="shared" si="30"/>
        <v>21.833333333333332</v>
      </c>
      <c r="G39" s="15">
        <f>SUM($F$35:F39)</f>
        <v>109.16666666666666</v>
      </c>
      <c r="H39" s="14">
        <f t="shared" si="39"/>
        <v>829.66666666666652</v>
      </c>
      <c r="I39" s="25">
        <f t="shared" si="31"/>
        <v>530</v>
      </c>
      <c r="J39" s="15">
        <f>I39*Parameters!$B$13</f>
        <v>15233.507432703898</v>
      </c>
      <c r="K39" s="26">
        <f t="shared" si="32"/>
        <v>7900</v>
      </c>
      <c r="L39" s="16">
        <f t="shared" si="33"/>
        <v>29308.371836078746</v>
      </c>
      <c r="M39" s="26">
        <f t="shared" si="34"/>
        <v>7900</v>
      </c>
      <c r="N39" s="16">
        <f t="shared" si="35"/>
        <v>15233.507432703898</v>
      </c>
      <c r="O39" s="26">
        <f t="shared" si="36"/>
        <v>7900</v>
      </c>
      <c r="P39" s="16">
        <f t="shared" si="37"/>
        <v>3770.846725592608</v>
      </c>
      <c r="Q39" s="16">
        <f t="shared" si="40"/>
        <v>4129.153274407392</v>
      </c>
      <c r="R39" s="17">
        <f t="shared" si="44"/>
        <v>1846.2233828846925</v>
      </c>
      <c r="S39" s="17">
        <f t="shared" si="41"/>
        <v>374.78334672559259</v>
      </c>
      <c r="T39" s="24">
        <f>SUM($S$35:S39)</f>
        <v>838.21811470470061</v>
      </c>
      <c r="U39" s="27">
        <f t="shared" si="42"/>
        <v>54</v>
      </c>
      <c r="V39" s="24">
        <f>SUM($U$35:U39)</f>
        <v>158</v>
      </c>
      <c r="W39" s="27">
        <f t="shared" si="43"/>
        <v>29.7</v>
      </c>
      <c r="X39" s="24">
        <f>SUM($W$35:W39)</f>
        <v>86.9</v>
      </c>
    </row>
    <row r="40" spans="1:24" x14ac:dyDescent="0.25">
      <c r="A40" s="13" t="s">
        <v>26</v>
      </c>
      <c r="B40" s="17">
        <v>1300</v>
      </c>
      <c r="C40" s="16">
        <f t="shared" si="38"/>
        <v>9200</v>
      </c>
      <c r="D40" s="18">
        <v>90</v>
      </c>
      <c r="E40" s="15">
        <f>SUM($D$35:D40)</f>
        <v>620</v>
      </c>
      <c r="F40" s="14">
        <f t="shared" si="30"/>
        <v>21.833333333333332</v>
      </c>
      <c r="G40" s="15">
        <f>SUM($F$35:F40)</f>
        <v>131</v>
      </c>
      <c r="H40" s="14">
        <f t="shared" si="39"/>
        <v>995.59999999999991</v>
      </c>
      <c r="I40" s="25">
        <f t="shared" si="31"/>
        <v>620</v>
      </c>
      <c r="J40" s="15">
        <f>I40*Parameters!$B$13</f>
        <v>17820.329449578145</v>
      </c>
      <c r="K40" s="26">
        <f t="shared" si="32"/>
        <v>9200</v>
      </c>
      <c r="L40" s="16">
        <f t="shared" si="33"/>
        <v>34285.265166733632</v>
      </c>
      <c r="M40" s="26">
        <f t="shared" si="34"/>
        <v>9200</v>
      </c>
      <c r="N40" s="16">
        <f t="shared" si="35"/>
        <v>17820.329449578145</v>
      </c>
      <c r="O40" s="26">
        <f t="shared" si="36"/>
        <v>9200</v>
      </c>
      <c r="P40" s="16">
        <f t="shared" si="37"/>
        <v>4411.1791884290888</v>
      </c>
      <c r="Q40" s="16">
        <f t="shared" si="40"/>
        <v>4788.8208115709112</v>
      </c>
      <c r="R40" s="17">
        <f t="shared" si="44"/>
        <v>659.66753716351923</v>
      </c>
      <c r="S40" s="17">
        <f t="shared" si="41"/>
        <v>133.91251004419442</v>
      </c>
      <c r="T40" s="24">
        <f>SUM($S$35:S40)</f>
        <v>972.130624748895</v>
      </c>
      <c r="U40" s="27">
        <f t="shared" si="42"/>
        <v>26</v>
      </c>
      <c r="V40" s="24">
        <f>SUM($U$35:U40)</f>
        <v>184</v>
      </c>
      <c r="W40" s="27">
        <f t="shared" si="43"/>
        <v>14.299999999999999</v>
      </c>
      <c r="X40" s="24">
        <f>SUM($W$35:W40)</f>
        <v>101.2</v>
      </c>
    </row>
    <row r="41" spans="1:24" x14ac:dyDescent="0.25">
      <c r="A41" s="13" t="s">
        <v>27</v>
      </c>
      <c r="B41" s="17">
        <v>1300</v>
      </c>
      <c r="C41" s="16">
        <f t="shared" si="38"/>
        <v>10500</v>
      </c>
      <c r="D41" s="18">
        <v>82</v>
      </c>
      <c r="E41" s="15">
        <f>SUM($D$35:D41)</f>
        <v>702</v>
      </c>
      <c r="F41" s="14">
        <f t="shared" si="30"/>
        <v>21.833333333333332</v>
      </c>
      <c r="G41" s="15">
        <f>SUM($F$35:F41)</f>
        <v>152.83333333333334</v>
      </c>
      <c r="H41" s="14">
        <f t="shared" si="39"/>
        <v>1161.5333333333333</v>
      </c>
      <c r="I41" s="25">
        <f t="shared" si="31"/>
        <v>702</v>
      </c>
      <c r="J41" s="15">
        <f>I41*Parameters!$B$13</f>
        <v>20177.211731619125</v>
      </c>
      <c r="K41" s="26">
        <f t="shared" si="32"/>
        <v>10500</v>
      </c>
      <c r="L41" s="16">
        <f t="shared" si="33"/>
        <v>38819.767979108074</v>
      </c>
      <c r="M41" s="26">
        <f t="shared" si="34"/>
        <v>10500</v>
      </c>
      <c r="N41" s="16">
        <f t="shared" si="35"/>
        <v>20177.211731619125</v>
      </c>
      <c r="O41" s="26">
        <f t="shared" si="36"/>
        <v>10500</v>
      </c>
      <c r="P41" s="16">
        <f t="shared" si="37"/>
        <v>4994.593210124548</v>
      </c>
      <c r="Q41" s="16">
        <f t="shared" si="40"/>
        <v>5505.406789875452</v>
      </c>
      <c r="R41" s="17">
        <f t="shared" si="44"/>
        <v>716.58597830454073</v>
      </c>
      <c r="S41" s="17">
        <f t="shared" si="41"/>
        <v>145.46695359582179</v>
      </c>
      <c r="T41" s="24">
        <f>SUM($S$35:S41)</f>
        <v>1117.5975783447168</v>
      </c>
      <c r="U41" s="27">
        <f t="shared" si="42"/>
        <v>26</v>
      </c>
      <c r="V41" s="24">
        <f>SUM($U$35:U41)</f>
        <v>210</v>
      </c>
      <c r="W41" s="27">
        <f t="shared" si="43"/>
        <v>14.299999999999999</v>
      </c>
      <c r="X41" s="24">
        <f>SUM($W$35:W41)</f>
        <v>115.5</v>
      </c>
    </row>
    <row r="42" spans="1:24" x14ac:dyDescent="0.25">
      <c r="A42" s="13" t="s">
        <v>28</v>
      </c>
      <c r="B42" s="17">
        <v>1400</v>
      </c>
      <c r="C42" s="16">
        <f t="shared" si="38"/>
        <v>11900</v>
      </c>
      <c r="D42" s="18">
        <v>120</v>
      </c>
      <c r="E42" s="15">
        <f>SUM($D$35:D42)</f>
        <v>822</v>
      </c>
      <c r="F42" s="14">
        <f t="shared" si="30"/>
        <v>21.833333333333332</v>
      </c>
      <c r="G42" s="15">
        <f>SUM($F$35:F42)</f>
        <v>174.66666666666669</v>
      </c>
      <c r="H42" s="14">
        <f t="shared" si="39"/>
        <v>1327.4666666666667</v>
      </c>
      <c r="I42" s="25">
        <f t="shared" si="31"/>
        <v>822</v>
      </c>
      <c r="J42" s="15">
        <f>I42*Parameters!$B$13</f>
        <v>23626.307754118123</v>
      </c>
      <c r="K42" s="26">
        <f t="shared" si="32"/>
        <v>11900</v>
      </c>
      <c r="L42" s="16">
        <f t="shared" si="33"/>
        <v>45455.625753314584</v>
      </c>
      <c r="M42" s="26">
        <f t="shared" si="34"/>
        <v>11900</v>
      </c>
      <c r="N42" s="16">
        <f t="shared" si="35"/>
        <v>23626.307754118123</v>
      </c>
      <c r="O42" s="26">
        <f t="shared" si="36"/>
        <v>11900</v>
      </c>
      <c r="P42" s="16">
        <f t="shared" si="37"/>
        <v>5848.369827239856</v>
      </c>
      <c r="Q42" s="16">
        <f t="shared" si="40"/>
        <v>6051.630172760144</v>
      </c>
      <c r="R42" s="17">
        <f t="shared" si="44"/>
        <v>546.223382884692</v>
      </c>
      <c r="S42" s="17">
        <f t="shared" si="41"/>
        <v>110.88334672559249</v>
      </c>
      <c r="T42" s="24">
        <f>SUM($S$35:S42)</f>
        <v>1228.4809250703092</v>
      </c>
      <c r="U42" s="27">
        <f t="shared" si="42"/>
        <v>28</v>
      </c>
      <c r="V42" s="24">
        <f>SUM($U$35:U42)</f>
        <v>238</v>
      </c>
      <c r="W42" s="27">
        <f t="shared" si="43"/>
        <v>15.399999999999999</v>
      </c>
      <c r="X42" s="24">
        <f>SUM($W$35:W42)</f>
        <v>130.9</v>
      </c>
    </row>
    <row r="43" spans="1:24" x14ac:dyDescent="0.25">
      <c r="A43" s="13" t="s">
        <v>29</v>
      </c>
      <c r="B43" s="17">
        <v>1400</v>
      </c>
      <c r="C43" s="16">
        <f t="shared" si="38"/>
        <v>13300</v>
      </c>
      <c r="D43" s="18">
        <v>100</v>
      </c>
      <c r="E43" s="15">
        <f>SUM($D$35:D43)</f>
        <v>922</v>
      </c>
      <c r="F43" s="14">
        <f t="shared" si="30"/>
        <v>21.833333333333332</v>
      </c>
      <c r="G43" s="15">
        <f>SUM($F$35:F43)</f>
        <v>196.50000000000003</v>
      </c>
      <c r="H43" s="14">
        <f t="shared" si="39"/>
        <v>1493.4</v>
      </c>
      <c r="I43" s="25">
        <f t="shared" si="31"/>
        <v>922</v>
      </c>
      <c r="J43" s="15">
        <f>I43*Parameters!$B$13</f>
        <v>26500.554439533949</v>
      </c>
      <c r="K43" s="26">
        <f t="shared" si="32"/>
        <v>13300</v>
      </c>
      <c r="L43" s="16">
        <f t="shared" si="33"/>
        <v>50985.507231820011</v>
      </c>
      <c r="M43" s="26">
        <f t="shared" si="34"/>
        <v>13300</v>
      </c>
      <c r="N43" s="16">
        <f t="shared" si="35"/>
        <v>26500.554439533949</v>
      </c>
      <c r="O43" s="26">
        <f t="shared" si="36"/>
        <v>13300</v>
      </c>
      <c r="P43" s="16">
        <f t="shared" si="37"/>
        <v>6559.8503415026116</v>
      </c>
      <c r="Q43" s="16">
        <f t="shared" si="40"/>
        <v>6740.1496584973884</v>
      </c>
      <c r="R43" s="17">
        <f t="shared" si="44"/>
        <v>688.51948573724439</v>
      </c>
      <c r="S43" s="17">
        <f t="shared" si="41"/>
        <v>139.76945560466064</v>
      </c>
      <c r="T43" s="24">
        <f>SUM($S$35:S43)</f>
        <v>1368.2503806749698</v>
      </c>
      <c r="U43" s="27">
        <f t="shared" si="42"/>
        <v>28</v>
      </c>
      <c r="V43" s="24">
        <f>SUM($U$35:U43)</f>
        <v>266</v>
      </c>
      <c r="W43" s="27">
        <f t="shared" si="43"/>
        <v>15.399999999999999</v>
      </c>
      <c r="X43" s="24">
        <f>SUM($W$35:W43)</f>
        <v>146.30000000000001</v>
      </c>
    </row>
    <row r="44" spans="1:24" x14ac:dyDescent="0.25">
      <c r="A44" s="13" t="s">
        <v>30</v>
      </c>
      <c r="B44" s="17">
        <v>1400</v>
      </c>
      <c r="C44" s="16">
        <f t="shared" si="38"/>
        <v>14700</v>
      </c>
      <c r="D44" s="18">
        <v>110</v>
      </c>
      <c r="E44" s="15">
        <f>SUM($D$35:D44)</f>
        <v>1032</v>
      </c>
      <c r="F44" s="14">
        <f t="shared" si="30"/>
        <v>21.833333333333332</v>
      </c>
      <c r="G44" s="15">
        <f>SUM($F$35:F44)</f>
        <v>218.33333333333337</v>
      </c>
      <c r="H44" s="14">
        <f t="shared" si="39"/>
        <v>1659.3333333333335</v>
      </c>
      <c r="I44" s="25">
        <f t="shared" si="31"/>
        <v>1032</v>
      </c>
      <c r="J44" s="15">
        <f>I44*Parameters!$B$13</f>
        <v>29662.225793491365</v>
      </c>
      <c r="K44" s="26">
        <f t="shared" si="32"/>
        <v>14700</v>
      </c>
      <c r="L44" s="16">
        <f t="shared" si="33"/>
        <v>57068.37685817598</v>
      </c>
      <c r="M44" s="26">
        <f t="shared" si="34"/>
        <v>14700</v>
      </c>
      <c r="N44" s="16">
        <f t="shared" si="35"/>
        <v>29662.225793491365</v>
      </c>
      <c r="O44" s="26">
        <f t="shared" si="36"/>
        <v>14700</v>
      </c>
      <c r="P44" s="16">
        <f t="shared" si="37"/>
        <v>7342.4789071916439</v>
      </c>
      <c r="Q44" s="16">
        <f t="shared" si="40"/>
        <v>7357.5210928083561</v>
      </c>
      <c r="R44" s="17">
        <f t="shared" si="44"/>
        <v>617.37143431096774</v>
      </c>
      <c r="S44" s="17">
        <f t="shared" si="41"/>
        <v>125.32640116512646</v>
      </c>
      <c r="T44" s="24">
        <f>SUM($S$35:S44)</f>
        <v>1493.5767818400964</v>
      </c>
      <c r="U44" s="27">
        <f t="shared" si="42"/>
        <v>28</v>
      </c>
      <c r="V44" s="24">
        <f>SUM($U$35:U44)</f>
        <v>294</v>
      </c>
      <c r="W44" s="27">
        <f t="shared" si="43"/>
        <v>15.399999999999999</v>
      </c>
      <c r="X44" s="24">
        <f>SUM($W$35:W44)</f>
        <v>161.70000000000002</v>
      </c>
    </row>
    <row r="45" spans="1:24" x14ac:dyDescent="0.25">
      <c r="A45" s="13" t="s">
        <v>31</v>
      </c>
      <c r="B45" s="17">
        <v>1400</v>
      </c>
      <c r="C45" s="16">
        <f t="shared" si="38"/>
        <v>16100</v>
      </c>
      <c r="D45" s="18">
        <v>110</v>
      </c>
      <c r="E45" s="15">
        <f>SUM($D$35:D45)</f>
        <v>1142</v>
      </c>
      <c r="F45" s="14">
        <f t="shared" si="30"/>
        <v>21.833333333333332</v>
      </c>
      <c r="G45" s="15">
        <f>SUM($F$35:F45)</f>
        <v>240.16666666666671</v>
      </c>
      <c r="H45" s="14">
        <f t="shared" si="39"/>
        <v>1825.2666666666669</v>
      </c>
      <c r="I45" s="25">
        <f t="shared" si="31"/>
        <v>1142</v>
      </c>
      <c r="J45" s="15">
        <f>I45*Parameters!$B$13</f>
        <v>32823.897147448777</v>
      </c>
      <c r="K45" s="26">
        <f t="shared" si="32"/>
        <v>16100</v>
      </c>
      <c r="L45" s="16">
        <f t="shared" si="33"/>
        <v>63151.246484531941</v>
      </c>
      <c r="M45" s="26">
        <f t="shared" si="34"/>
        <v>16100</v>
      </c>
      <c r="N45" s="16">
        <f t="shared" si="35"/>
        <v>32823.897147448777</v>
      </c>
      <c r="O45" s="26">
        <f t="shared" si="36"/>
        <v>16100</v>
      </c>
      <c r="P45" s="16">
        <f t="shared" si="37"/>
        <v>8125.1074728806752</v>
      </c>
      <c r="Q45" s="16">
        <f t="shared" si="40"/>
        <v>7974.8925271193248</v>
      </c>
      <c r="R45" s="17">
        <f t="shared" si="44"/>
        <v>617.37143431096865</v>
      </c>
      <c r="S45" s="17">
        <f t="shared" si="41"/>
        <v>125.32640116512664</v>
      </c>
      <c r="T45" s="24">
        <f>SUM($S$35:S45)</f>
        <v>1618.9031830052231</v>
      </c>
      <c r="U45" s="27">
        <f t="shared" si="42"/>
        <v>28</v>
      </c>
      <c r="V45" s="24">
        <f>SUM($U$35:U45)</f>
        <v>322</v>
      </c>
      <c r="W45" s="27">
        <f t="shared" si="43"/>
        <v>15.399999999999999</v>
      </c>
      <c r="X45" s="24">
        <f>SUM($W$35:W45)</f>
        <v>177.10000000000002</v>
      </c>
    </row>
    <row r="46" spans="1:24" x14ac:dyDescent="0.25">
      <c r="A46" s="13" t="s">
        <v>32</v>
      </c>
      <c r="B46" s="17">
        <v>2500</v>
      </c>
      <c r="C46" s="16">
        <f t="shared" si="38"/>
        <v>18600</v>
      </c>
      <c r="D46" s="18">
        <v>100</v>
      </c>
      <c r="E46" s="15">
        <f>SUM($D$35:D46)</f>
        <v>1242</v>
      </c>
      <c r="F46" s="14">
        <f t="shared" si="30"/>
        <v>21.833333333333332</v>
      </c>
      <c r="G46" s="15">
        <f>SUM($F$35:F46)</f>
        <v>262.00000000000006</v>
      </c>
      <c r="H46" s="14">
        <f t="shared" si="39"/>
        <v>1991.2000000000003</v>
      </c>
      <c r="I46" s="25">
        <f t="shared" si="31"/>
        <v>1242</v>
      </c>
      <c r="J46" s="15">
        <f>I46*Parameters!$B$13</f>
        <v>35698.143832864604</v>
      </c>
      <c r="K46" s="26">
        <f t="shared" si="32"/>
        <v>18600</v>
      </c>
      <c r="L46" s="16">
        <f t="shared" si="33"/>
        <v>68681.127963037361</v>
      </c>
      <c r="M46" s="26">
        <f t="shared" si="34"/>
        <v>18600</v>
      </c>
      <c r="N46" s="16">
        <f t="shared" si="35"/>
        <v>35698.143832864604</v>
      </c>
      <c r="O46" s="26">
        <f t="shared" si="36"/>
        <v>18600</v>
      </c>
      <c r="P46" s="16">
        <f t="shared" si="37"/>
        <v>8836.5879871434317</v>
      </c>
      <c r="Q46" s="16">
        <f t="shared" si="40"/>
        <v>9763.4120128565683</v>
      </c>
      <c r="R46" s="17">
        <f t="shared" si="44"/>
        <v>1788.5194857372435</v>
      </c>
      <c r="S46" s="17">
        <f t="shared" si="41"/>
        <v>363.06945560466045</v>
      </c>
      <c r="T46" s="24">
        <f>SUM($S$35:S46)</f>
        <v>1981.9726386098837</v>
      </c>
      <c r="U46" s="27">
        <f t="shared" si="42"/>
        <v>50</v>
      </c>
      <c r="V46" s="24">
        <f>SUM($U$35:U46)</f>
        <v>372</v>
      </c>
      <c r="W46" s="27">
        <f t="shared" si="43"/>
        <v>27.5</v>
      </c>
      <c r="X46" s="24">
        <f>SUM($W$35:W46)</f>
        <v>204.60000000000002</v>
      </c>
    </row>
    <row r="47" spans="1:24" x14ac:dyDescent="0.25">
      <c r="S47" s="28"/>
    </row>
    <row r="49" spans="1:24" x14ac:dyDescent="0.25">
      <c r="A49" s="3" t="s">
        <v>48</v>
      </c>
      <c r="B49" s="3" t="s">
        <v>58</v>
      </c>
      <c r="C49" s="3"/>
      <c r="D49" s="3"/>
      <c r="E49" s="3"/>
      <c r="F49" s="3"/>
      <c r="G49" s="3"/>
      <c r="H49" s="3"/>
      <c r="I49" s="3"/>
      <c r="J49" s="3"/>
      <c r="K49" s="3"/>
      <c r="P49" s="3"/>
      <c r="Q49" s="3"/>
    </row>
    <row r="50" spans="1:24" s="20" customFormat="1" ht="51.75" x14ac:dyDescent="0.25">
      <c r="A50" s="19" t="s">
        <v>20</v>
      </c>
      <c r="B50" s="19" t="s">
        <v>0</v>
      </c>
      <c r="C50" s="19" t="s">
        <v>33</v>
      </c>
      <c r="D50" s="19" t="s">
        <v>1</v>
      </c>
      <c r="E50" s="19" t="s">
        <v>35</v>
      </c>
      <c r="F50" s="19" t="s">
        <v>2</v>
      </c>
      <c r="G50" s="19" t="s">
        <v>34</v>
      </c>
      <c r="H50" s="19" t="s">
        <v>43</v>
      </c>
      <c r="I50" s="19" t="s">
        <v>44</v>
      </c>
      <c r="J50" s="19" t="s">
        <v>46</v>
      </c>
      <c r="K50" s="19" t="s">
        <v>41</v>
      </c>
      <c r="L50" s="19" t="s">
        <v>45</v>
      </c>
      <c r="M50" s="19" t="s">
        <v>40</v>
      </c>
      <c r="N50" s="19" t="s">
        <v>38</v>
      </c>
      <c r="O50" s="19" t="s">
        <v>39</v>
      </c>
      <c r="P50" s="19" t="s">
        <v>36</v>
      </c>
      <c r="Q50" s="19" t="s">
        <v>37</v>
      </c>
      <c r="R50" s="19" t="s">
        <v>55</v>
      </c>
      <c r="S50" s="23" t="s">
        <v>49</v>
      </c>
      <c r="T50" s="19" t="s">
        <v>50</v>
      </c>
      <c r="U50" s="23" t="s">
        <v>51</v>
      </c>
      <c r="V50" s="19" t="s">
        <v>52</v>
      </c>
      <c r="W50" s="23" t="s">
        <v>53</v>
      </c>
      <c r="X50" s="19" t="s">
        <v>54</v>
      </c>
    </row>
    <row r="51" spans="1:24" x14ac:dyDescent="0.25">
      <c r="A51" s="13" t="s">
        <v>21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x14ac:dyDescent="0.25">
      <c r="A52" s="13" t="s">
        <v>22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x14ac:dyDescent="0.25">
      <c r="A53" s="13" t="s">
        <v>23</v>
      </c>
      <c r="B53" s="17">
        <v>1200</v>
      </c>
      <c r="C53" s="16">
        <f t="shared" ref="C53:C58" si="45">C52+B53</f>
        <v>1200</v>
      </c>
      <c r="D53" s="18">
        <v>110</v>
      </c>
      <c r="E53" s="15">
        <f>SUM($D$53:D53)</f>
        <v>110</v>
      </c>
      <c r="F53" s="14">
        <f t="shared" ref="F53:F58" si="46">Aantal_SV_dagen_in_het_jaar/12</f>
        <v>21.833333333333332</v>
      </c>
      <c r="G53" s="15">
        <f>SUM($F$53:F53)</f>
        <v>21.833333333333332</v>
      </c>
      <c r="H53" s="14">
        <f t="shared" ref="H53:H58" si="47">G53*7.6</f>
        <v>165.93333333333331</v>
      </c>
      <c r="I53" s="25">
        <f t="shared" ref="I53:I58" si="48">MIN(H53,E53)</f>
        <v>110</v>
      </c>
      <c r="J53" s="15">
        <f>I53*Parameters!$B$13</f>
        <v>3161.671353957413</v>
      </c>
      <c r="K53" s="26">
        <f t="shared" ref="K53:K58" si="49">MIN(J53,C53)</f>
        <v>1200</v>
      </c>
      <c r="L53" s="16">
        <f t="shared" ref="L53:L58" si="50">I53*Max_pensioengev_salaris_per_uur_OP_NP</f>
        <v>6082.8696263559668</v>
      </c>
      <c r="M53" s="26">
        <f t="shared" ref="M53:M58" si="51">MIN(L53,C53)</f>
        <v>1200</v>
      </c>
      <c r="N53" s="16">
        <f t="shared" ref="N53:N58" si="52">I53*Max_pensioengev_salaris_per_uur_VPL</f>
        <v>3161.671353957413</v>
      </c>
      <c r="O53" s="26">
        <f t="shared" ref="O53:O58" si="53">MIN(N53,C53)</f>
        <v>1200</v>
      </c>
      <c r="P53" s="16">
        <f t="shared" ref="P53:P59" si="54">I53*Franchise_OP_NP_per_uur</f>
        <v>782.6285656890318</v>
      </c>
      <c r="Q53" s="16">
        <f t="shared" ref="Q53:Q58" si="55">IF(M53-P53&lt;0,0,M53-P53)</f>
        <v>417.3714343109682</v>
      </c>
      <c r="R53" s="17">
        <f>Q53-Q52</f>
        <v>417.3714343109682</v>
      </c>
      <c r="S53" s="17">
        <f t="shared" ref="S53:S58" si="56">(Q53-Q52)*Premie___OP_NP</f>
        <v>84.726401165126546</v>
      </c>
      <c r="T53" s="24">
        <f>SUM($S$53:S53)</f>
        <v>84.726401165126546</v>
      </c>
      <c r="U53" s="27">
        <f t="shared" ref="U53:U58" si="57">(O53-O52)*Premie___VPL</f>
        <v>24</v>
      </c>
      <c r="V53" s="24">
        <f>SUM($U$53:U53)</f>
        <v>24</v>
      </c>
      <c r="W53" s="27">
        <f t="shared" ref="W53:W58" si="58">(K53-K52)*Premie__VOS</f>
        <v>13.2</v>
      </c>
      <c r="X53" s="24">
        <f>SUM($W$53:W53)</f>
        <v>13.2</v>
      </c>
    </row>
    <row r="54" spans="1:24" x14ac:dyDescent="0.25">
      <c r="A54" s="13" t="s">
        <v>24</v>
      </c>
      <c r="B54" s="17">
        <v>1500</v>
      </c>
      <c r="C54" s="16">
        <f t="shared" si="45"/>
        <v>2700</v>
      </c>
      <c r="D54" s="18">
        <v>100</v>
      </c>
      <c r="E54" s="15">
        <f>SUM($D$53:D54)</f>
        <v>210</v>
      </c>
      <c r="F54" s="14">
        <f t="shared" si="46"/>
        <v>21.833333333333332</v>
      </c>
      <c r="G54" s="15">
        <f>SUM($F$53:F54)</f>
        <v>43.666666666666664</v>
      </c>
      <c r="H54" s="14">
        <f t="shared" si="47"/>
        <v>331.86666666666662</v>
      </c>
      <c r="I54" s="25">
        <f t="shared" si="48"/>
        <v>210</v>
      </c>
      <c r="J54" s="15">
        <f>I54*Parameters!$B$13</f>
        <v>6035.9180393732422</v>
      </c>
      <c r="K54" s="26">
        <f t="shared" si="49"/>
        <v>2700</v>
      </c>
      <c r="L54" s="16">
        <f t="shared" si="50"/>
        <v>11612.751104861391</v>
      </c>
      <c r="M54" s="26">
        <f t="shared" si="51"/>
        <v>2700</v>
      </c>
      <c r="N54" s="16">
        <f t="shared" si="52"/>
        <v>6035.9180393732422</v>
      </c>
      <c r="O54" s="26">
        <f t="shared" si="53"/>
        <v>2700</v>
      </c>
      <c r="P54" s="16">
        <f t="shared" si="54"/>
        <v>1494.1090799517881</v>
      </c>
      <c r="Q54" s="16">
        <f t="shared" si="55"/>
        <v>1205.8909200482119</v>
      </c>
      <c r="R54" s="17">
        <f t="shared" ref="R54:R59" si="59">Q54-Q53</f>
        <v>788.51948573724371</v>
      </c>
      <c r="S54" s="17">
        <f t="shared" si="56"/>
        <v>160.06945560466048</v>
      </c>
      <c r="T54" s="24">
        <f>SUM($S$53:S54)</f>
        <v>244.79585676978701</v>
      </c>
      <c r="U54" s="27">
        <f t="shared" si="57"/>
        <v>30</v>
      </c>
      <c r="V54" s="24">
        <f>SUM($U$53:U54)</f>
        <v>54</v>
      </c>
      <c r="W54" s="27">
        <f t="shared" si="58"/>
        <v>16.5</v>
      </c>
      <c r="X54" s="24">
        <f>SUM($W$53:W54)</f>
        <v>29.7</v>
      </c>
    </row>
    <row r="55" spans="1:24" x14ac:dyDescent="0.25">
      <c r="A55" s="13" t="s">
        <v>25</v>
      </c>
      <c r="B55" s="17">
        <v>2100</v>
      </c>
      <c r="C55" s="16">
        <f t="shared" si="45"/>
        <v>4800</v>
      </c>
      <c r="D55" s="18">
        <v>95</v>
      </c>
      <c r="E55" s="15">
        <f>SUM($D$53:D55)</f>
        <v>305</v>
      </c>
      <c r="F55" s="14">
        <f t="shared" si="46"/>
        <v>21.833333333333332</v>
      </c>
      <c r="G55" s="15">
        <f>SUM($F$53:F55)</f>
        <v>65.5</v>
      </c>
      <c r="H55" s="14">
        <f t="shared" si="47"/>
        <v>497.79999999999995</v>
      </c>
      <c r="I55" s="25">
        <f t="shared" si="48"/>
        <v>305</v>
      </c>
      <c r="J55" s="15">
        <f>I55*Parameters!$B$13</f>
        <v>8766.4523905182814</v>
      </c>
      <c r="K55" s="26">
        <f t="shared" si="49"/>
        <v>4800</v>
      </c>
      <c r="L55" s="16">
        <f t="shared" si="50"/>
        <v>16866.138509441542</v>
      </c>
      <c r="M55" s="26">
        <f t="shared" si="51"/>
        <v>4800</v>
      </c>
      <c r="N55" s="16">
        <f t="shared" si="52"/>
        <v>8766.4523905182814</v>
      </c>
      <c r="O55" s="26">
        <f t="shared" si="53"/>
        <v>4800</v>
      </c>
      <c r="P55" s="16">
        <f t="shared" si="54"/>
        <v>2170.0155685014065</v>
      </c>
      <c r="Q55" s="16">
        <f t="shared" si="55"/>
        <v>2629.9844314985935</v>
      </c>
      <c r="R55" s="17">
        <f t="shared" si="59"/>
        <v>1424.0935114503816</v>
      </c>
      <c r="S55" s="17">
        <f t="shared" si="56"/>
        <v>289.0909828244275</v>
      </c>
      <c r="T55" s="24">
        <f>SUM($S$53:S55)</f>
        <v>533.88683959421451</v>
      </c>
      <c r="U55" s="27">
        <f t="shared" si="57"/>
        <v>42</v>
      </c>
      <c r="V55" s="24">
        <f>SUM($U$53:U55)</f>
        <v>96</v>
      </c>
      <c r="W55" s="27">
        <f t="shared" si="58"/>
        <v>23.099999999999998</v>
      </c>
      <c r="X55" s="24">
        <f>SUM($W$53:W55)</f>
        <v>52.8</v>
      </c>
    </row>
    <row r="56" spans="1:24" x14ac:dyDescent="0.25">
      <c r="A56" s="13" t="s">
        <v>26</v>
      </c>
      <c r="B56" s="17">
        <v>1300</v>
      </c>
      <c r="C56" s="16">
        <f t="shared" si="45"/>
        <v>6100</v>
      </c>
      <c r="D56" s="18">
        <v>110</v>
      </c>
      <c r="E56" s="15">
        <f>SUM($D$53:D56)</f>
        <v>415</v>
      </c>
      <c r="F56" s="14">
        <f t="shared" si="46"/>
        <v>21.833333333333332</v>
      </c>
      <c r="G56" s="15">
        <f>SUM($F$53:F56)</f>
        <v>87.333333333333329</v>
      </c>
      <c r="H56" s="14">
        <f t="shared" si="47"/>
        <v>663.73333333333323</v>
      </c>
      <c r="I56" s="25">
        <f t="shared" si="48"/>
        <v>415</v>
      </c>
      <c r="J56" s="15">
        <f>I56*Parameters!$B$13</f>
        <v>11928.123744475693</v>
      </c>
      <c r="K56" s="26">
        <f t="shared" si="49"/>
        <v>6100</v>
      </c>
      <c r="L56" s="16">
        <f t="shared" si="50"/>
        <v>22949.00813579751</v>
      </c>
      <c r="M56" s="26">
        <f t="shared" si="51"/>
        <v>6100</v>
      </c>
      <c r="N56" s="16">
        <f t="shared" si="52"/>
        <v>11928.123744475693</v>
      </c>
      <c r="O56" s="26">
        <f t="shared" si="53"/>
        <v>6100</v>
      </c>
      <c r="P56" s="16">
        <f t="shared" si="54"/>
        <v>2952.6441341904383</v>
      </c>
      <c r="Q56" s="16">
        <f t="shared" si="55"/>
        <v>3147.3558658095617</v>
      </c>
      <c r="R56" s="17">
        <f t="shared" si="59"/>
        <v>517.3714343109682</v>
      </c>
      <c r="S56" s="17">
        <f t="shared" si="56"/>
        <v>105.02640116512656</v>
      </c>
      <c r="T56" s="24">
        <f>SUM($S$53:S56)</f>
        <v>638.91324075934108</v>
      </c>
      <c r="U56" s="27">
        <f t="shared" si="57"/>
        <v>26</v>
      </c>
      <c r="V56" s="24">
        <f>SUM($U$53:U56)</f>
        <v>122</v>
      </c>
      <c r="W56" s="27">
        <f t="shared" si="58"/>
        <v>14.299999999999999</v>
      </c>
      <c r="X56" s="24">
        <f>SUM($W$53:W56)</f>
        <v>67.099999999999994</v>
      </c>
    </row>
    <row r="57" spans="1:24" x14ac:dyDescent="0.25">
      <c r="A57" s="13" t="s">
        <v>27</v>
      </c>
      <c r="B57" s="17">
        <v>1300</v>
      </c>
      <c r="C57" s="16">
        <f t="shared" si="45"/>
        <v>7400</v>
      </c>
      <c r="D57" s="18">
        <v>100</v>
      </c>
      <c r="E57" s="15">
        <f>SUM($D$53:D57)</f>
        <v>515</v>
      </c>
      <c r="F57" s="14">
        <f t="shared" si="46"/>
        <v>21.833333333333332</v>
      </c>
      <c r="G57" s="15">
        <f>SUM($F$53:F57)</f>
        <v>109.16666666666666</v>
      </c>
      <c r="H57" s="14">
        <f t="shared" si="47"/>
        <v>829.66666666666652</v>
      </c>
      <c r="I57" s="25">
        <f t="shared" si="48"/>
        <v>515</v>
      </c>
      <c r="J57" s="15">
        <f>I57*Parameters!$B$13</f>
        <v>14802.370429891524</v>
      </c>
      <c r="K57" s="26">
        <f t="shared" si="49"/>
        <v>7400</v>
      </c>
      <c r="L57" s="16">
        <f t="shared" si="50"/>
        <v>28478.889614302934</v>
      </c>
      <c r="M57" s="26">
        <f t="shared" si="51"/>
        <v>7400</v>
      </c>
      <c r="N57" s="16">
        <f t="shared" si="52"/>
        <v>14802.370429891524</v>
      </c>
      <c r="O57" s="26">
        <f t="shared" si="53"/>
        <v>7400</v>
      </c>
      <c r="P57" s="16">
        <f t="shared" si="54"/>
        <v>3664.1246484531944</v>
      </c>
      <c r="Q57" s="16">
        <f t="shared" si="55"/>
        <v>3735.8753515468056</v>
      </c>
      <c r="R57" s="17">
        <f t="shared" si="59"/>
        <v>588.51948573724394</v>
      </c>
      <c r="S57" s="17">
        <f t="shared" si="56"/>
        <v>119.46945560466052</v>
      </c>
      <c r="T57" s="24">
        <f>SUM($S$53:S57)</f>
        <v>758.38269636400162</v>
      </c>
      <c r="U57" s="27">
        <f t="shared" si="57"/>
        <v>26</v>
      </c>
      <c r="V57" s="24">
        <f>SUM($U$53:U57)</f>
        <v>148</v>
      </c>
      <c r="W57" s="27">
        <f t="shared" si="58"/>
        <v>14.299999999999999</v>
      </c>
      <c r="X57" s="24">
        <f>SUM($W$53:W57)</f>
        <v>81.399999999999991</v>
      </c>
    </row>
    <row r="58" spans="1:24" x14ac:dyDescent="0.25">
      <c r="A58" s="13" t="s">
        <v>28</v>
      </c>
      <c r="B58" s="17">
        <v>1400</v>
      </c>
      <c r="C58" s="16">
        <f t="shared" si="45"/>
        <v>8800</v>
      </c>
      <c r="D58" s="18">
        <v>120</v>
      </c>
      <c r="E58" s="15">
        <f>SUM($D$53:D58)</f>
        <v>635</v>
      </c>
      <c r="F58" s="14">
        <f t="shared" si="46"/>
        <v>21.833333333333332</v>
      </c>
      <c r="G58" s="15">
        <f>SUM($F$53:F58)</f>
        <v>131</v>
      </c>
      <c r="H58" s="14">
        <f t="shared" si="47"/>
        <v>995.59999999999991</v>
      </c>
      <c r="I58" s="25">
        <f t="shared" si="48"/>
        <v>635</v>
      </c>
      <c r="J58" s="15">
        <f>I58*Parameters!$B$13</f>
        <v>18251.466452390519</v>
      </c>
      <c r="K58" s="26">
        <f t="shared" si="49"/>
        <v>8800</v>
      </c>
      <c r="L58" s="16">
        <f t="shared" si="50"/>
        <v>35114.747388509444</v>
      </c>
      <c r="M58" s="26">
        <f t="shared" si="51"/>
        <v>8800</v>
      </c>
      <c r="N58" s="16">
        <f t="shared" si="52"/>
        <v>18251.466452390519</v>
      </c>
      <c r="O58" s="26">
        <f t="shared" si="53"/>
        <v>8800</v>
      </c>
      <c r="P58" s="16">
        <f t="shared" si="54"/>
        <v>4517.9012655685019</v>
      </c>
      <c r="Q58" s="16">
        <f t="shared" si="55"/>
        <v>4282.0987344314981</v>
      </c>
      <c r="R58" s="17">
        <f t="shared" si="59"/>
        <v>546.22338288469246</v>
      </c>
      <c r="S58" s="17">
        <f t="shared" si="56"/>
        <v>110.88334672559257</v>
      </c>
      <c r="T58" s="24">
        <f>SUM($S$53:S58)</f>
        <v>869.26604308959418</v>
      </c>
      <c r="U58" s="27">
        <f t="shared" si="57"/>
        <v>28</v>
      </c>
      <c r="V58" s="24">
        <f>SUM($U$53:U58)</f>
        <v>176</v>
      </c>
      <c r="W58" s="27">
        <f t="shared" si="58"/>
        <v>15.399999999999999</v>
      </c>
      <c r="X58" s="24">
        <f>SUM($W$53:W58)</f>
        <v>96.799999999999983</v>
      </c>
    </row>
    <row r="59" spans="1:24" x14ac:dyDescent="0.25">
      <c r="A59" s="13" t="s">
        <v>29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 x14ac:dyDescent="0.25">
      <c r="A60" s="13" t="s">
        <v>30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 x14ac:dyDescent="0.25">
      <c r="A61" s="13" t="s">
        <v>31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 x14ac:dyDescent="0.25">
      <c r="A62" s="13" t="s">
        <v>32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A17" sqref="A17:XFD19"/>
    </sheetView>
  </sheetViews>
  <sheetFormatPr defaultRowHeight="15" x14ac:dyDescent="0.25"/>
  <cols>
    <col min="1" max="1" width="29.7109375" customWidth="1"/>
    <col min="2" max="2" width="19" customWidth="1"/>
  </cols>
  <sheetData>
    <row r="1" spans="1:3" x14ac:dyDescent="0.25">
      <c r="A1" s="1" t="s">
        <v>5</v>
      </c>
      <c r="B1" s="2">
        <v>2020</v>
      </c>
      <c r="C1" s="4"/>
    </row>
    <row r="2" spans="1:3" s="3" customFormat="1" x14ac:dyDescent="0.25">
      <c r="A2" s="1" t="s">
        <v>6</v>
      </c>
      <c r="B2" s="5">
        <v>262</v>
      </c>
      <c r="C2" s="4" t="s">
        <v>7</v>
      </c>
    </row>
    <row r="3" spans="1:3" x14ac:dyDescent="0.25">
      <c r="A3" s="1" t="s">
        <v>8</v>
      </c>
      <c r="B3" s="8">
        <f>Aantal_SV_dagen_in_het_jaar*Max_uren_per_sv_dag</f>
        <v>1991.1999999999998</v>
      </c>
      <c r="C3" s="4" t="s">
        <v>7</v>
      </c>
    </row>
    <row r="4" spans="1:3" x14ac:dyDescent="0.25">
      <c r="A4" s="1" t="s">
        <v>3</v>
      </c>
      <c r="B4" s="6">
        <v>9.5</v>
      </c>
      <c r="C4" s="4" t="s">
        <v>7</v>
      </c>
    </row>
    <row r="5" spans="1:3" x14ac:dyDescent="0.25">
      <c r="A5" s="1" t="s">
        <v>4</v>
      </c>
      <c r="B5" s="6">
        <v>7.6</v>
      </c>
      <c r="C5" s="4" t="s">
        <v>9</v>
      </c>
    </row>
    <row r="6" spans="1:3" x14ac:dyDescent="0.25">
      <c r="A6" s="1" t="s">
        <v>10</v>
      </c>
      <c r="B6" s="7">
        <v>14167</v>
      </c>
      <c r="C6" s="4" t="s">
        <v>7</v>
      </c>
    </row>
    <row r="7" spans="1:3" x14ac:dyDescent="0.25">
      <c r="A7" s="1" t="s">
        <v>11</v>
      </c>
      <c r="B7" s="8">
        <f>B6/B3</f>
        <v>7.1148051426275618</v>
      </c>
      <c r="C7" s="4" t="s">
        <v>12</v>
      </c>
    </row>
    <row r="8" spans="1:3" ht="25.5" x14ac:dyDescent="0.25">
      <c r="A8" s="1" t="s">
        <v>13</v>
      </c>
      <c r="B8" s="9">
        <v>110111</v>
      </c>
      <c r="C8" s="4" t="s">
        <v>7</v>
      </c>
    </row>
    <row r="9" spans="1:3" ht="25.5" x14ac:dyDescent="0.25">
      <c r="A9" s="1" t="s">
        <v>14</v>
      </c>
      <c r="B9" s="8">
        <f>B8/B3</f>
        <v>55.29881478505424</v>
      </c>
      <c r="C9" s="4" t="s">
        <v>12</v>
      </c>
    </row>
    <row r="10" spans="1:3" ht="25.5" x14ac:dyDescent="0.25">
      <c r="A10" s="1" t="s">
        <v>15</v>
      </c>
      <c r="B10" s="10">
        <v>57232</v>
      </c>
      <c r="C10" s="4" t="s">
        <v>7</v>
      </c>
    </row>
    <row r="11" spans="1:3" ht="25.5" x14ac:dyDescent="0.25">
      <c r="A11" s="1" t="s">
        <v>16</v>
      </c>
      <c r="B11" s="8">
        <f>B10/B3</f>
        <v>28.742466854158298</v>
      </c>
      <c r="C11" s="4" t="s">
        <v>12</v>
      </c>
    </row>
    <row r="12" spans="1:3" s="3" customFormat="1" x14ac:dyDescent="0.25">
      <c r="A12" s="1" t="s">
        <v>42</v>
      </c>
      <c r="B12" s="10">
        <v>57232</v>
      </c>
      <c r="C12" s="4" t="s">
        <v>7</v>
      </c>
    </row>
    <row r="13" spans="1:3" s="3" customFormat="1" x14ac:dyDescent="0.25">
      <c r="A13" s="1" t="s">
        <v>42</v>
      </c>
      <c r="B13" s="8">
        <f>B12/B3</f>
        <v>28.742466854158298</v>
      </c>
      <c r="C13" s="4" t="s">
        <v>12</v>
      </c>
    </row>
    <row r="14" spans="1:3" x14ac:dyDescent="0.25">
      <c r="A14" s="1" t="s">
        <v>17</v>
      </c>
      <c r="B14" s="11">
        <v>0.20300000000000001</v>
      </c>
      <c r="C14" s="4" t="s">
        <v>7</v>
      </c>
    </row>
    <row r="15" spans="1:3" x14ac:dyDescent="0.25">
      <c r="A15" s="1" t="s">
        <v>18</v>
      </c>
      <c r="B15" s="11">
        <v>0.02</v>
      </c>
      <c r="C15" s="4" t="s">
        <v>7</v>
      </c>
    </row>
    <row r="16" spans="1:3" x14ac:dyDescent="0.25">
      <c r="A16" s="12" t="s">
        <v>19</v>
      </c>
      <c r="B16" s="11">
        <v>1.0999999999999999E-2</v>
      </c>
      <c r="C16" s="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D41D5C4C44D847B3964F7A658B6E71" ma:contentTypeVersion="13" ma:contentTypeDescription="Een nieuw document maken." ma:contentTypeScope="" ma:versionID="482f7e846f2e686576d811a0f13b8944">
  <xsd:schema xmlns:xsd="http://www.w3.org/2001/XMLSchema" xmlns:xs="http://www.w3.org/2001/XMLSchema" xmlns:p="http://schemas.microsoft.com/office/2006/metadata/properties" xmlns:ns1="http://schemas.microsoft.com/sharepoint/v3" xmlns:ns2="549402ac-5c8b-4883-a96f-96e4d2c05d80" xmlns:ns3="2498090c-e355-4fb0-8493-16b46b633987" targetNamespace="http://schemas.microsoft.com/office/2006/metadata/properties" ma:root="true" ma:fieldsID="863015c5e24231020d6b0ee59e85a208" ns1:_="" ns2:_="" ns3:_="">
    <xsd:import namespace="http://schemas.microsoft.com/sharepoint/v3"/>
    <xsd:import namespace="549402ac-5c8b-4883-a96f-96e4d2c05d80"/>
    <xsd:import namespace="2498090c-e355-4fb0-8493-16b46b6339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402ac-5c8b-4883-a96f-96e4d2c05d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8090c-e355-4fb0-8493-16b46b63398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DC83322-A389-47EF-ABFD-42D254D0AED4}"/>
</file>

<file path=customXml/itemProps2.xml><?xml version="1.0" encoding="utf-8"?>
<ds:datastoreItem xmlns:ds="http://schemas.openxmlformats.org/officeDocument/2006/customXml" ds:itemID="{B3FF365B-85F5-4C74-A368-941482FEDDF3}"/>
</file>

<file path=customXml/itemProps3.xml><?xml version="1.0" encoding="utf-8"?>
<ds:datastoreItem xmlns:ds="http://schemas.openxmlformats.org/officeDocument/2006/customXml" ds:itemID="{F44329A2-43D2-4495-8B1B-123D4E09550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14</vt:i4>
      </vt:variant>
    </vt:vector>
  </HeadingPairs>
  <TitlesOfParts>
    <vt:vector size="16" baseType="lpstr">
      <vt:lpstr>Maand</vt:lpstr>
      <vt:lpstr>Parameters</vt:lpstr>
      <vt:lpstr>Aantal_SV_dagen_in_het_jaar</vt:lpstr>
      <vt:lpstr>Franchise_OP_NP</vt:lpstr>
      <vt:lpstr>Franchise_OP_NP_per_uur</vt:lpstr>
      <vt:lpstr>Jaar_van_berekening</vt:lpstr>
      <vt:lpstr>Max_pensioengev_salaris_per_jaar_OP_NP</vt:lpstr>
      <vt:lpstr>Max_pensioengev_salaris_per_jaar_VPL</vt:lpstr>
      <vt:lpstr>Max_pensioengev_salaris_per_uur_OP_NP</vt:lpstr>
      <vt:lpstr>Max_pensioengev_salaris_per_uur_VPL</vt:lpstr>
      <vt:lpstr>Max_uren_per_gewerkte_dag</vt:lpstr>
      <vt:lpstr>Max_uren_per_sv_dag</vt:lpstr>
      <vt:lpstr>Normuren_per_jaar</vt:lpstr>
      <vt:lpstr>Premie___OP_NP</vt:lpstr>
      <vt:lpstr>Premie___VPL</vt:lpstr>
      <vt:lpstr>Premie__VOS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Lootens</dc:creator>
  <cp:lastModifiedBy>connie</cp:lastModifiedBy>
  <dcterms:created xsi:type="dcterms:W3CDTF">2017-06-06T07:51:58Z</dcterms:created>
  <dcterms:modified xsi:type="dcterms:W3CDTF">2021-02-24T07:32:16Z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0x010100BBD41D5C4C44D847B3964F7A658B6E71</vt:lpwstr>
  </property>
</Properties>
</file>